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kamakawiwoole\Dropbox\Zurn Files\Zurn Business File\"/>
    </mc:Choice>
  </mc:AlternateContent>
  <bookViews>
    <workbookView xWindow="0" yWindow="0" windowWidth="25200" windowHeight="11385" tabRatio="821"/>
  </bookViews>
  <sheets>
    <sheet name="Character_Builder" sheetId="5" r:id="rId1"/>
    <sheet name="Pet_Builder" sheetId="11" r:id="rId2"/>
    <sheet name="Magic_Lores" sheetId="4" r:id="rId3"/>
    <sheet name="Cost_Compute" sheetId="15" r:id="rId4"/>
    <sheet name="Character_Data" sheetId="3" r:id="rId5"/>
    <sheet name="Mount_Data" sheetId="12" r:id="rId6"/>
    <sheet name="Equipment" sheetId="1" r:id="rId7"/>
    <sheet name="Enhancements" sheetId="2" r:id="rId8"/>
    <sheet name="Lookups" sheetId="16" r:id="rId9"/>
  </sheets>
  <definedNames>
    <definedName name="_xlnm._FilterDatabase" localSheetId="4" hidden="1">Character_Data!$B$1:$B$191</definedName>
    <definedName name="_xlnm._FilterDatabase" localSheetId="6" hidden="1">Equipment!$A$1:$B$332</definedName>
    <definedName name="_xlnm._FilterDatabase" localSheetId="5" hidden="1">Mount_Data!$A$1:$C$54</definedName>
  </definedNames>
  <calcPr calcId="152511"/>
</workbook>
</file>

<file path=xl/calcChain.xml><?xml version="1.0" encoding="utf-8"?>
<calcChain xmlns="http://schemas.openxmlformats.org/spreadsheetml/2006/main">
  <c r="I5" i="5" l="1"/>
  <c r="Z87" i="16" l="1"/>
  <c r="AA87" i="16" s="1"/>
  <c r="Z86" i="16"/>
  <c r="AA86" i="16" s="1"/>
  <c r="AA85" i="16"/>
  <c r="Z85" i="16"/>
  <c r="Z84" i="16"/>
  <c r="AA84" i="16" s="1"/>
  <c r="Z83" i="16"/>
  <c r="AA83" i="16" s="1"/>
  <c r="Z82" i="16"/>
  <c r="AA82" i="16" s="1"/>
  <c r="Z81" i="16"/>
  <c r="AA81" i="16" s="1"/>
  <c r="Z80" i="16"/>
  <c r="AA80" i="16" s="1"/>
  <c r="Z79" i="16"/>
  <c r="AA79" i="16" s="1"/>
  <c r="B74" i="16"/>
  <c r="AA78" i="16"/>
  <c r="Z78" i="16"/>
  <c r="B73" i="16"/>
  <c r="Z77" i="16"/>
  <c r="AA77" i="16" s="1"/>
  <c r="B72" i="16"/>
  <c r="Z76" i="16"/>
  <c r="AA76" i="16" s="1"/>
  <c r="B71" i="16"/>
  <c r="Z75" i="16"/>
  <c r="AA75" i="16" s="1"/>
  <c r="B70" i="16"/>
  <c r="Z74" i="16"/>
  <c r="AA74" i="16" s="1"/>
  <c r="B69" i="16"/>
  <c r="Z73" i="16"/>
  <c r="AA73" i="16" s="1"/>
  <c r="B68" i="16"/>
  <c r="Z72" i="16"/>
  <c r="AA72" i="16" s="1"/>
  <c r="B67" i="16"/>
  <c r="Z71" i="16"/>
  <c r="AA71" i="16" s="1"/>
  <c r="B66" i="16"/>
  <c r="AA70" i="16"/>
  <c r="Z70" i="16"/>
  <c r="B65" i="16"/>
  <c r="Z69" i="16"/>
  <c r="AA69" i="16" s="1"/>
  <c r="B64" i="16"/>
  <c r="Z68" i="16"/>
  <c r="AA68" i="16" s="1"/>
  <c r="B63" i="16"/>
  <c r="Z67" i="16"/>
  <c r="AA67" i="16" s="1"/>
  <c r="B62" i="16"/>
  <c r="Z66" i="16"/>
  <c r="AA66" i="16" s="1"/>
  <c r="B61" i="16"/>
  <c r="Z65" i="16"/>
  <c r="AA65" i="16" s="1"/>
  <c r="B60" i="16"/>
  <c r="Z64" i="16"/>
  <c r="AA64" i="16" s="1"/>
  <c r="B59" i="16"/>
  <c r="Z63" i="16"/>
  <c r="AA63" i="16" s="1"/>
  <c r="B58" i="16"/>
  <c r="AA62" i="16"/>
  <c r="Z62" i="16"/>
  <c r="B57" i="16"/>
  <c r="Z61" i="16"/>
  <c r="AA61" i="16" s="1"/>
  <c r="B56" i="16"/>
  <c r="Z60" i="16"/>
  <c r="AA60" i="16" s="1"/>
  <c r="B55" i="16"/>
  <c r="Z59" i="16"/>
  <c r="AA59" i="16" s="1"/>
  <c r="B54" i="16"/>
  <c r="Z58" i="16"/>
  <c r="AA58" i="16" s="1"/>
  <c r="N58" i="16"/>
  <c r="M58" i="16"/>
  <c r="L58" i="16"/>
  <c r="K58" i="16"/>
  <c r="B53" i="16"/>
  <c r="Z57" i="16"/>
  <c r="AA57" i="16" s="1"/>
  <c r="N57" i="16"/>
  <c r="M57" i="16"/>
  <c r="L57" i="16"/>
  <c r="K57" i="16"/>
  <c r="B52" i="16"/>
  <c r="Z56" i="16"/>
  <c r="AA56" i="16" s="1"/>
  <c r="N56" i="16"/>
  <c r="M56" i="16"/>
  <c r="L56" i="16"/>
  <c r="K56" i="16"/>
  <c r="B51" i="16"/>
  <c r="Z55" i="16"/>
  <c r="AA55" i="16" s="1"/>
  <c r="N55" i="16"/>
  <c r="M55" i="16"/>
  <c r="L55" i="16"/>
  <c r="K55" i="16"/>
  <c r="B50" i="16"/>
  <c r="AA54" i="16"/>
  <c r="Z54" i="16"/>
  <c r="N54" i="16"/>
  <c r="M54" i="16"/>
  <c r="L54" i="16"/>
  <c r="K54" i="16"/>
  <c r="B49" i="16"/>
  <c r="Z53" i="16"/>
  <c r="AA53" i="16" s="1"/>
  <c r="B48" i="16"/>
  <c r="Z52" i="16"/>
  <c r="AA52" i="16" s="1"/>
  <c r="B47" i="16"/>
  <c r="Z51" i="16"/>
  <c r="AA51" i="16" s="1"/>
  <c r="B46" i="16"/>
  <c r="Z50" i="16"/>
  <c r="AA50" i="16" s="1"/>
  <c r="B45" i="16"/>
  <c r="Z49" i="16"/>
  <c r="AA49" i="16" s="1"/>
  <c r="Z48" i="16"/>
  <c r="AA48" i="16" s="1"/>
  <c r="Z47" i="16"/>
  <c r="AA47" i="16" s="1"/>
  <c r="Z46" i="16"/>
  <c r="AA46" i="16" s="1"/>
  <c r="Z45" i="16"/>
  <c r="AA45" i="16" s="1"/>
  <c r="Z44" i="16"/>
  <c r="AA44" i="16" s="1"/>
  <c r="B39" i="16"/>
  <c r="Z43" i="16"/>
  <c r="AA43" i="16" s="1"/>
  <c r="B38" i="16"/>
  <c r="B43" i="16" s="1"/>
  <c r="Z42" i="16"/>
  <c r="AA42" i="16" s="1"/>
  <c r="B37" i="16"/>
  <c r="Z41" i="16"/>
  <c r="AA41" i="16" s="1"/>
  <c r="Z40" i="16"/>
  <c r="AA40" i="16" s="1"/>
  <c r="Z39" i="16"/>
  <c r="AA39" i="16" s="1"/>
  <c r="Z38" i="16"/>
  <c r="AA38" i="16" s="1"/>
  <c r="Z37" i="16"/>
  <c r="AA37" i="16" s="1"/>
  <c r="Z36" i="16"/>
  <c r="AA36" i="16" s="1"/>
  <c r="B36" i="16"/>
  <c r="E36" i="16" s="1"/>
  <c r="AA35" i="16"/>
  <c r="Z35" i="16"/>
  <c r="G35" i="16"/>
  <c r="B35" i="16"/>
  <c r="H35" i="16" s="1"/>
  <c r="Z34" i="16"/>
  <c r="AA34" i="16" s="1"/>
  <c r="B34" i="16"/>
  <c r="G34" i="16" s="1"/>
  <c r="Z33" i="16"/>
  <c r="AA33" i="16" s="1"/>
  <c r="N33" i="16"/>
  <c r="M33" i="16"/>
  <c r="L33" i="16"/>
  <c r="K33" i="16"/>
  <c r="B33" i="16"/>
  <c r="AA32" i="16"/>
  <c r="Z32" i="16"/>
  <c r="N32" i="16"/>
  <c r="M32" i="16"/>
  <c r="L32" i="16"/>
  <c r="K32" i="16"/>
  <c r="G32" i="16"/>
  <c r="B32" i="16"/>
  <c r="E32" i="16" s="1"/>
  <c r="N31" i="16"/>
  <c r="M31" i="16"/>
  <c r="L31" i="16"/>
  <c r="K31" i="16"/>
  <c r="F31" i="16"/>
  <c r="E31" i="16"/>
  <c r="B31" i="16"/>
  <c r="H31" i="16" s="1"/>
  <c r="N30" i="16"/>
  <c r="M30" i="16"/>
  <c r="L30" i="16"/>
  <c r="K30" i="16"/>
  <c r="B30" i="16"/>
  <c r="G30" i="16" s="1"/>
  <c r="N29" i="16"/>
  <c r="M29" i="16"/>
  <c r="L29" i="16"/>
  <c r="K29" i="16"/>
  <c r="B29" i="16"/>
  <c r="F29" i="16" s="1"/>
  <c r="N28" i="16"/>
  <c r="M28" i="16"/>
  <c r="L28" i="16"/>
  <c r="K28" i="16"/>
  <c r="B28" i="16"/>
  <c r="N27" i="16"/>
  <c r="M27" i="16"/>
  <c r="L27" i="16"/>
  <c r="K27" i="16"/>
  <c r="B27" i="16"/>
  <c r="H27" i="16" s="1"/>
  <c r="N26" i="16"/>
  <c r="M26" i="16"/>
  <c r="L26" i="16"/>
  <c r="K26" i="16"/>
  <c r="B26" i="16"/>
  <c r="N25" i="16"/>
  <c r="M25" i="16"/>
  <c r="L25" i="16"/>
  <c r="K25" i="16"/>
  <c r="B25" i="16"/>
  <c r="E25" i="16" s="1"/>
  <c r="N24" i="16"/>
  <c r="M24" i="16"/>
  <c r="L24" i="16"/>
  <c r="K24" i="16"/>
  <c r="B24" i="16"/>
  <c r="E24" i="16" s="1"/>
  <c r="N23" i="16"/>
  <c r="M23" i="16"/>
  <c r="L23" i="16"/>
  <c r="K23" i="16"/>
  <c r="B23" i="16"/>
  <c r="H23" i="16" s="1"/>
  <c r="N22" i="16"/>
  <c r="M22" i="16"/>
  <c r="L22" i="16"/>
  <c r="K22" i="16"/>
  <c r="B22" i="16"/>
  <c r="H22" i="16" s="1"/>
  <c r="A22" i="16"/>
  <c r="B21" i="16"/>
  <c r="A21" i="16"/>
  <c r="B20" i="16"/>
  <c r="E20" i="16" s="1"/>
  <c r="A20" i="16"/>
  <c r="B19" i="16"/>
  <c r="N18" i="16" s="1"/>
  <c r="A19" i="16"/>
  <c r="B18" i="16"/>
  <c r="H18" i="16" s="1"/>
  <c r="A18" i="16"/>
  <c r="K17" i="16"/>
  <c r="B17" i="16"/>
  <c r="N16" i="16" s="1"/>
  <c r="A17" i="16"/>
  <c r="B16" i="16"/>
  <c r="G16" i="16" s="1"/>
  <c r="A16" i="16"/>
  <c r="B15" i="16"/>
  <c r="K15" i="16" s="1"/>
  <c r="A15" i="16"/>
  <c r="B14" i="16"/>
  <c r="H14" i="16" s="1"/>
  <c r="A14" i="16"/>
  <c r="B13" i="16"/>
  <c r="A13" i="16"/>
  <c r="H12" i="16"/>
  <c r="F12" i="16"/>
  <c r="E12" i="16"/>
  <c r="B12" i="16"/>
  <c r="L12" i="16" s="1"/>
  <c r="A12" i="16"/>
  <c r="B11" i="16"/>
  <c r="A11" i="16"/>
  <c r="B10" i="16"/>
  <c r="N10" i="16" s="1"/>
  <c r="A10" i="16"/>
  <c r="B9" i="16"/>
  <c r="H9" i="16" s="1"/>
  <c r="A9" i="16"/>
  <c r="B8" i="16"/>
  <c r="L8" i="16" s="1"/>
  <c r="A8" i="16"/>
  <c r="B7" i="16"/>
  <c r="E7" i="16" s="1"/>
  <c r="A7" i="16"/>
  <c r="B6" i="16"/>
  <c r="M6" i="16" s="1"/>
  <c r="A6" i="16"/>
  <c r="B5" i="16"/>
  <c r="N5" i="16" s="1"/>
  <c r="A5" i="16"/>
  <c r="B4" i="16"/>
  <c r="K4" i="16" s="1"/>
  <c r="A4" i="16"/>
  <c r="B3" i="16"/>
  <c r="L3" i="16" s="1"/>
  <c r="A3" i="16"/>
  <c r="B2" i="16"/>
  <c r="M2" i="16" s="1"/>
  <c r="A2" i="16"/>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C41" i="16" l="1"/>
  <c r="G27" i="16"/>
  <c r="E30" i="16"/>
  <c r="E8" i="16"/>
  <c r="F16" i="16"/>
  <c r="F30" i="16"/>
  <c r="F34" i="16"/>
  <c r="E35" i="16"/>
  <c r="F32" i="16"/>
  <c r="H34" i="16"/>
  <c r="F35" i="16"/>
  <c r="C43" i="16"/>
  <c r="K5" i="16"/>
  <c r="F8" i="16"/>
  <c r="F10" i="16"/>
  <c r="H16" i="16"/>
  <c r="L17" i="16"/>
  <c r="E18" i="16"/>
  <c r="I2" i="16"/>
  <c r="H8" i="16"/>
  <c r="K9" i="16"/>
  <c r="H10" i="16"/>
  <c r="N12" i="16"/>
  <c r="N17" i="16"/>
  <c r="F18" i="16"/>
  <c r="K19" i="16"/>
  <c r="F20" i="16"/>
  <c r="K21" i="16"/>
  <c r="E27" i="16"/>
  <c r="H30" i="16"/>
  <c r="G31" i="16"/>
  <c r="H32" i="16"/>
  <c r="C40" i="16"/>
  <c r="C42" i="16"/>
  <c r="N8" i="16"/>
  <c r="N19" i="16"/>
  <c r="H20" i="16"/>
  <c r="F27" i="16"/>
  <c r="E22" i="16"/>
  <c r="E23" i="16"/>
  <c r="G36" i="16"/>
  <c r="I6" i="16"/>
  <c r="L14" i="16"/>
  <c r="E5" i="16"/>
  <c r="L5" i="16"/>
  <c r="E6" i="16"/>
  <c r="K6" i="16"/>
  <c r="E14" i="16"/>
  <c r="N14" i="16"/>
  <c r="L21" i="16"/>
  <c r="F24" i="16"/>
  <c r="G29" i="16"/>
  <c r="F5" i="16"/>
  <c r="M5" i="16"/>
  <c r="F6" i="16"/>
  <c r="L6" i="16"/>
  <c r="L10" i="16"/>
  <c r="F14" i="16"/>
  <c r="L16" i="16"/>
  <c r="H17" i="16"/>
  <c r="N21" i="16"/>
  <c r="F22" i="16"/>
  <c r="F23" i="16"/>
  <c r="G24" i="16"/>
  <c r="H29" i="16"/>
  <c r="I3" i="16"/>
  <c r="G5" i="16"/>
  <c r="G6" i="16"/>
  <c r="N6" i="16"/>
  <c r="E10" i="16"/>
  <c r="E16" i="16"/>
  <c r="L19" i="16"/>
  <c r="G23" i="16"/>
  <c r="H24" i="16"/>
  <c r="H36" i="16"/>
  <c r="B40" i="16"/>
  <c r="B41" i="16"/>
  <c r="B42" i="16"/>
  <c r="L7" i="16"/>
  <c r="M11" i="16"/>
  <c r="G11" i="16"/>
  <c r="N11" i="16"/>
  <c r="F11" i="16"/>
  <c r="L11" i="16"/>
  <c r="E11" i="16"/>
  <c r="M13" i="16"/>
  <c r="G13" i="16"/>
  <c r="N13" i="16"/>
  <c r="F13" i="16"/>
  <c r="L13" i="16"/>
  <c r="E13" i="16"/>
  <c r="M7" i="16"/>
  <c r="G7" i="16"/>
  <c r="N7" i="16"/>
  <c r="F7" i="16"/>
  <c r="F33" i="16"/>
  <c r="G33" i="16"/>
  <c r="E33" i="16"/>
  <c r="G37" i="16"/>
  <c r="F37" i="16"/>
  <c r="H37" i="16"/>
  <c r="E37" i="16"/>
  <c r="L2" i="16"/>
  <c r="G2" i="16"/>
  <c r="K2" i="16"/>
  <c r="E2" i="16"/>
  <c r="K3" i="16"/>
  <c r="F3" i="16"/>
  <c r="N3" i="16"/>
  <c r="H3" i="16"/>
  <c r="N4" i="16"/>
  <c r="I4" i="16"/>
  <c r="E4" i="16"/>
  <c r="L4" i="16"/>
  <c r="F4" i="16"/>
  <c r="M4" i="16"/>
  <c r="H11" i="16"/>
  <c r="G21" i="16"/>
  <c r="M20" i="16"/>
  <c r="F21" i="16"/>
  <c r="K20" i="16"/>
  <c r="E21" i="16"/>
  <c r="H33" i="16"/>
  <c r="F2" i="16"/>
  <c r="N2" i="16"/>
  <c r="E3" i="16"/>
  <c r="M3" i="16"/>
  <c r="G4" i="16"/>
  <c r="H7" i="16"/>
  <c r="K11" i="16"/>
  <c r="H13" i="16"/>
  <c r="M15" i="16"/>
  <c r="G15" i="16"/>
  <c r="N15" i="16"/>
  <c r="F15" i="16"/>
  <c r="L15" i="16"/>
  <c r="E15" i="16"/>
  <c r="G19" i="16"/>
  <c r="M18" i="16"/>
  <c r="F19" i="16"/>
  <c r="K18" i="16"/>
  <c r="E19" i="16"/>
  <c r="L20" i="16"/>
  <c r="H21" i="16"/>
  <c r="G26" i="16"/>
  <c r="F26" i="16"/>
  <c r="E26" i="16"/>
  <c r="E28" i="16"/>
  <c r="G28" i="16"/>
  <c r="F28" i="16"/>
  <c r="H2" i="16"/>
  <c r="G3" i="16"/>
  <c r="H4" i="16"/>
  <c r="K7" i="16"/>
  <c r="M9" i="16"/>
  <c r="G9" i="16"/>
  <c r="N9" i="16"/>
  <c r="F9" i="16"/>
  <c r="L9" i="16"/>
  <c r="E9" i="16"/>
  <c r="K13" i="16"/>
  <c r="H15" i="16"/>
  <c r="G17" i="16"/>
  <c r="M16" i="16"/>
  <c r="F17" i="16"/>
  <c r="K16" i="16"/>
  <c r="E17" i="16"/>
  <c r="L18" i="16"/>
  <c r="H19" i="16"/>
  <c r="N20" i="16"/>
  <c r="F25" i="16"/>
  <c r="H25" i="16"/>
  <c r="G25" i="16"/>
  <c r="H26" i="16"/>
  <c r="H28" i="16"/>
  <c r="M8" i="16"/>
  <c r="G8" i="16"/>
  <c r="K8" i="16"/>
  <c r="M10" i="16"/>
  <c r="G10" i="16"/>
  <c r="K10" i="16"/>
  <c r="M12" i="16"/>
  <c r="G12" i="16"/>
  <c r="K12" i="16"/>
  <c r="M14" i="16"/>
  <c r="G14" i="16"/>
  <c r="K14" i="16"/>
  <c r="G18" i="16"/>
  <c r="M17" i="16"/>
  <c r="G20" i="16"/>
  <c r="M19" i="16"/>
  <c r="G22" i="16"/>
  <c r="M21" i="16"/>
  <c r="E29" i="16"/>
  <c r="E34" i="16"/>
  <c r="F36" i="16"/>
  <c r="H5" i="16"/>
  <c r="H6" i="16"/>
  <c r="E77" i="15"/>
  <c r="E78" i="15"/>
  <c r="E79" i="15"/>
  <c r="E80" i="15"/>
  <c r="E81" i="15"/>
  <c r="E82" i="15"/>
  <c r="E83" i="15"/>
  <c r="E84" i="15"/>
  <c r="E85" i="15"/>
  <c r="E86" i="15"/>
  <c r="E87" i="15"/>
  <c r="E88" i="15"/>
  <c r="E89" i="15"/>
  <c r="E90" i="15"/>
  <c r="E91" i="15"/>
  <c r="E92" i="15"/>
  <c r="E93" i="15"/>
  <c r="E94" i="15"/>
  <c r="E95" i="15"/>
  <c r="E76" i="15"/>
  <c r="Z14" i="5"/>
  <c r="W12" i="3" l="1"/>
  <c r="I2" i="15" s="1"/>
  <c r="J2" i="15" s="1"/>
  <c r="K2" i="15" s="1"/>
  <c r="L2" i="15" s="1"/>
  <c r="M2" i="15" s="1"/>
  <c r="N2" i="15" s="1"/>
  <c r="O2" i="15" s="1"/>
  <c r="H8" i="15"/>
  <c r="K4" i="3"/>
  <c r="K3" i="3"/>
  <c r="K2" i="3"/>
  <c r="W17" i="3" s="1"/>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2" i="3"/>
  <c r="H6" i="15" l="1"/>
  <c r="W14" i="3"/>
  <c r="I4" i="15" s="1"/>
  <c r="J4" i="15" s="1"/>
  <c r="K4" i="15" s="1"/>
  <c r="L4" i="15" s="1"/>
  <c r="M4" i="15" s="1"/>
  <c r="N4" i="15" s="1"/>
  <c r="O4" i="15" s="1"/>
  <c r="H9" i="15"/>
  <c r="H7" i="15"/>
  <c r="W15" i="3"/>
  <c r="I5" i="15" s="1"/>
  <c r="J5" i="15" s="1"/>
  <c r="K5" i="15" s="1"/>
  <c r="L5" i="15" s="1"/>
  <c r="M5" i="15" s="1"/>
  <c r="N5" i="15" s="1"/>
  <c r="O5" i="15" s="1"/>
  <c r="W13" i="3"/>
  <c r="I3" i="15" s="1"/>
  <c r="J3" i="15" s="1"/>
  <c r="K3" i="15" s="1"/>
  <c r="L3" i="15" s="1"/>
  <c r="M3" i="15" s="1"/>
  <c r="N3" i="15" s="1"/>
  <c r="O3" i="15" s="1"/>
  <c r="E155" i="15"/>
  <c r="E156" i="15"/>
  <c r="E157" i="15"/>
  <c r="E158" i="15"/>
  <c r="E159" i="15"/>
  <c r="E160" i="15"/>
  <c r="E161" i="15"/>
  <c r="E162" i="15"/>
  <c r="E163" i="15"/>
  <c r="E164" i="15"/>
  <c r="E136" i="15"/>
  <c r="E135" i="15"/>
  <c r="E134" i="15"/>
  <c r="E133" i="15"/>
  <c r="E132" i="15"/>
  <c r="E131" i="15"/>
  <c r="E130" i="15"/>
  <c r="E137" i="15"/>
  <c r="D131" i="15"/>
  <c r="D132" i="15"/>
  <c r="D133" i="15"/>
  <c r="D134" i="15"/>
  <c r="D135" i="15"/>
  <c r="D136" i="15"/>
  <c r="D137" i="15"/>
  <c r="D130" i="15"/>
  <c r="F15" i="3"/>
  <c r="F16" i="3"/>
  <c r="F17" i="3"/>
  <c r="F19" i="3"/>
  <c r="F20" i="3"/>
  <c r="F21" i="3"/>
  <c r="F23" i="3"/>
  <c r="F24" i="3"/>
  <c r="F25" i="3"/>
  <c r="F27" i="3"/>
  <c r="F28" i="3"/>
  <c r="F29" i="3"/>
  <c r="F31" i="3"/>
  <c r="F32" i="3"/>
  <c r="F33" i="3"/>
  <c r="F35" i="3"/>
  <c r="F36" i="3"/>
  <c r="F37" i="3"/>
  <c r="F39" i="3"/>
  <c r="F40" i="3"/>
  <c r="F41" i="3"/>
  <c r="F43" i="3"/>
  <c r="F44" i="3"/>
  <c r="F45" i="3"/>
  <c r="F47" i="3"/>
  <c r="F48" i="3"/>
  <c r="F49" i="3"/>
  <c r="F51" i="3"/>
  <c r="F52" i="3"/>
  <c r="F53" i="3"/>
  <c r="F55" i="3"/>
  <c r="F56" i="3"/>
  <c r="F57" i="3"/>
  <c r="F59" i="3"/>
  <c r="F60" i="3"/>
  <c r="F61" i="3"/>
  <c r="F63" i="3"/>
  <c r="F64" i="3"/>
  <c r="F65" i="3"/>
  <c r="F67" i="3"/>
  <c r="F68" i="3"/>
  <c r="F69" i="3"/>
  <c r="F71" i="3"/>
  <c r="F72" i="3"/>
  <c r="F73" i="3"/>
  <c r="F75" i="3"/>
  <c r="F76" i="3"/>
  <c r="F77" i="3"/>
  <c r="F79" i="3"/>
  <c r="F80" i="3"/>
  <c r="F81" i="3"/>
  <c r="F83" i="3"/>
  <c r="F84" i="3"/>
  <c r="F85" i="3"/>
  <c r="F87" i="3"/>
  <c r="F88" i="3"/>
  <c r="F89" i="3"/>
  <c r="F91" i="3"/>
  <c r="F92" i="3"/>
  <c r="F93" i="3"/>
  <c r="F95" i="3"/>
  <c r="F96" i="3"/>
  <c r="F97" i="3"/>
  <c r="F99" i="3"/>
  <c r="F100" i="3"/>
  <c r="F101" i="3"/>
  <c r="F103" i="3"/>
  <c r="F104" i="3"/>
  <c r="F105" i="3"/>
  <c r="F107" i="3"/>
  <c r="F108" i="3"/>
  <c r="F109" i="3"/>
  <c r="F111" i="3"/>
  <c r="F112" i="3"/>
  <c r="F113" i="3"/>
  <c r="F115" i="3"/>
  <c r="F116" i="3"/>
  <c r="F117" i="3"/>
  <c r="F119" i="3"/>
  <c r="F120" i="3"/>
  <c r="F121" i="3"/>
  <c r="F123" i="3"/>
  <c r="F124" i="3"/>
  <c r="F125" i="3"/>
  <c r="F127" i="3"/>
  <c r="F128" i="3"/>
  <c r="F129" i="3"/>
  <c r="F131" i="3"/>
  <c r="F132" i="3"/>
  <c r="F133" i="3"/>
  <c r="F135" i="3"/>
  <c r="F136" i="3"/>
  <c r="F137" i="3"/>
  <c r="F3" i="3"/>
  <c r="F4" i="3"/>
  <c r="F5" i="3"/>
  <c r="F7" i="3"/>
  <c r="F8" i="3"/>
  <c r="F9" i="3"/>
  <c r="F11" i="3"/>
  <c r="F12" i="3"/>
  <c r="F13" i="3"/>
  <c r="F2" i="3"/>
  <c r="EC3" i="4"/>
  <c r="DY3" i="4"/>
  <c r="O2" i="3" l="1"/>
  <c r="W18" i="3"/>
  <c r="F6" i="3"/>
  <c r="N3" i="3" s="1"/>
  <c r="N2" i="3"/>
  <c r="D4" i="5" l="1"/>
  <c r="Q10" i="3"/>
  <c r="R10" i="3"/>
  <c r="S10" i="3"/>
  <c r="T10" i="3"/>
  <c r="Q3" i="3"/>
  <c r="Q4" i="3"/>
  <c r="Q5" i="3"/>
  <c r="Q6" i="3"/>
  <c r="Q7" i="3"/>
  <c r="Q8" i="3"/>
  <c r="Q9" i="3"/>
  <c r="T2" i="3"/>
  <c r="R9" i="3"/>
  <c r="R2" i="3"/>
  <c r="T6" i="3"/>
  <c r="T9" i="3"/>
  <c r="R3" i="3"/>
  <c r="R4" i="3"/>
  <c r="R5" i="3"/>
  <c r="R6" i="3"/>
  <c r="R7" i="3"/>
  <c r="R8" i="3"/>
  <c r="S2" i="3"/>
  <c r="Q2" i="3"/>
  <c r="S3" i="3"/>
  <c r="S4" i="3"/>
  <c r="S5" i="3"/>
  <c r="S6" i="3"/>
  <c r="S7" i="3"/>
  <c r="S8" i="3"/>
  <c r="S9" i="3"/>
  <c r="T5" i="3"/>
  <c r="T8" i="3"/>
  <c r="T3" i="3"/>
  <c r="T4" i="3"/>
  <c r="T7" i="3"/>
  <c r="O3" i="3"/>
  <c r="F10" i="3"/>
  <c r="F14" i="3" s="1"/>
  <c r="N5" i="3" s="1"/>
  <c r="O4" i="3" l="1"/>
  <c r="O5" i="3"/>
  <c r="F18" i="3"/>
  <c r="F22" i="3" s="1"/>
  <c r="F26" i="3" s="1"/>
  <c r="F30" i="3" s="1"/>
  <c r="N9" i="3" s="1"/>
  <c r="N4" i="3"/>
  <c r="A541" i="1"/>
  <c r="A542" i="1"/>
  <c r="A543" i="1"/>
  <c r="A544" i="1"/>
  <c r="A540" i="1"/>
  <c r="A61" i="15"/>
  <c r="D155" i="15" s="1"/>
  <c r="A62" i="15"/>
  <c r="D156" i="15" s="1"/>
  <c r="A63" i="15"/>
  <c r="D157" i="15" s="1"/>
  <c r="A64" i="15"/>
  <c r="D158" i="15" s="1"/>
  <c r="A65" i="15"/>
  <c r="D159" i="15" s="1"/>
  <c r="A66" i="15"/>
  <c r="D160" i="15" s="1"/>
  <c r="A67" i="15"/>
  <c r="D161" i="15" s="1"/>
  <c r="A68" i="15"/>
  <c r="D162" i="15" s="1"/>
  <c r="A69" i="15"/>
  <c r="D163" i="15" s="1"/>
  <c r="A70" i="15"/>
  <c r="D164" i="15" s="1"/>
  <c r="O8" i="3" l="1"/>
  <c r="O7" i="3"/>
  <c r="O6" i="3"/>
  <c r="O9" i="3"/>
  <c r="N6" i="3"/>
  <c r="N7" i="3"/>
  <c r="N8" i="3"/>
  <c r="F34" i="3"/>
  <c r="B541" i="1"/>
  <c r="B542" i="1"/>
  <c r="B543" i="1"/>
  <c r="B544" i="1"/>
  <c r="B540" i="1"/>
  <c r="G47" i="5"/>
  <c r="O10" i="3" l="1"/>
  <c r="N10" i="3"/>
  <c r="F38" i="3"/>
  <c r="B28" i="15"/>
  <c r="B38" i="15"/>
  <c r="B35" i="15"/>
  <c r="B32" i="15"/>
  <c r="B29" i="15"/>
  <c r="B39" i="15"/>
  <c r="B36" i="15"/>
  <c r="B33" i="15"/>
  <c r="B30" i="15"/>
  <c r="B41" i="15"/>
  <c r="B40" i="15"/>
  <c r="B37" i="15"/>
  <c r="B34" i="15"/>
  <c r="B31" i="15"/>
  <c r="B27" i="15"/>
  <c r="B62" i="15"/>
  <c r="B61" i="15"/>
  <c r="B63" i="15"/>
  <c r="B67" i="15"/>
  <c r="B12" i="15"/>
  <c r="B16" i="15"/>
  <c r="B20" i="15"/>
  <c r="B24" i="15"/>
  <c r="B22" i="15"/>
  <c r="B64" i="15"/>
  <c r="B68" i="15"/>
  <c r="B13" i="15"/>
  <c r="B17" i="15"/>
  <c r="B21" i="15"/>
  <c r="B11" i="15"/>
  <c r="B14" i="15"/>
  <c r="B23" i="15"/>
  <c r="B65" i="15"/>
  <c r="B69" i="15"/>
  <c r="B18" i="15"/>
  <c r="B66" i="15"/>
  <c r="B70" i="15"/>
  <c r="B15" i="15"/>
  <c r="B19" i="15"/>
  <c r="F42" i="3" l="1"/>
  <c r="F46" i="3" l="1"/>
  <c r="F50" i="3" s="1"/>
  <c r="F54" i="3" s="1"/>
  <c r="F58" i="3" s="1"/>
  <c r="F62" i="3" l="1"/>
  <c r="F66" i="3" s="1"/>
  <c r="F70" i="3" s="1"/>
  <c r="F74" i="3" s="1"/>
  <c r="F78" i="3" s="1"/>
  <c r="F82" i="3" s="1"/>
  <c r="F86" i="3" s="1"/>
  <c r="F90" i="3" s="1"/>
  <c r="F94" i="3" s="1"/>
  <c r="F98" i="3" s="1"/>
  <c r="F102" i="3" s="1"/>
  <c r="F106" i="3" s="1"/>
  <c r="F110" i="3" s="1"/>
  <c r="F114" i="3" s="1"/>
  <c r="F118" i="3" s="1"/>
  <c r="F122" i="3" s="1"/>
  <c r="F126" i="3" s="1"/>
  <c r="F130" i="3" s="1"/>
  <c r="F134" i="3" s="1"/>
  <c r="B45" i="15"/>
  <c r="B46" i="15"/>
  <c r="B47" i="15"/>
  <c r="B48" i="15"/>
  <c r="B49" i="15"/>
  <c r="B50" i="15"/>
  <c r="B51" i="15"/>
  <c r="B52" i="15"/>
  <c r="B53" i="15"/>
  <c r="B54" i="15"/>
  <c r="B55" i="15"/>
  <c r="B56" i="15"/>
  <c r="B57" i="15"/>
  <c r="B58" i="15"/>
  <c r="B44" i="15"/>
  <c r="B8" i="15"/>
  <c r="B7" i="15"/>
  <c r="B6" i="15"/>
  <c r="B5" i="15"/>
  <c r="B4" i="15"/>
  <c r="B3" i="15"/>
  <c r="B2" i="15"/>
  <c r="O45" i="3" l="1"/>
  <c r="O25" i="3"/>
  <c r="O47" i="3"/>
  <c r="O30" i="3"/>
  <c r="O50" i="3"/>
  <c r="O17" i="3"/>
  <c r="O40" i="3"/>
  <c r="O23" i="3"/>
  <c r="O15" i="3"/>
  <c r="O28" i="3"/>
  <c r="O13" i="3"/>
  <c r="O42" i="3"/>
  <c r="O20" i="3"/>
  <c r="O11" i="3"/>
  <c r="O34" i="3"/>
  <c r="O46" i="3"/>
  <c r="O31" i="3"/>
  <c r="O33" i="3"/>
  <c r="O43" i="3"/>
  <c r="O18" i="3"/>
  <c r="O29" i="3"/>
  <c r="O44" i="3"/>
  <c r="O49" i="3"/>
  <c r="O12" i="3"/>
  <c r="O21" i="3"/>
  <c r="O24" i="3"/>
  <c r="O48" i="3"/>
  <c r="O37" i="3"/>
  <c r="O22" i="3"/>
  <c r="O51" i="3"/>
  <c r="O41" i="3"/>
  <c r="O14" i="3"/>
  <c r="O16" i="3"/>
  <c r="O26" i="3"/>
  <c r="O19" i="3"/>
  <c r="O35" i="3"/>
  <c r="O38" i="3"/>
  <c r="O39" i="3"/>
  <c r="O32" i="3"/>
  <c r="O36" i="3"/>
  <c r="O27" i="3"/>
  <c r="D5" i="5"/>
  <c r="E5" i="5"/>
  <c r="N21" i="3"/>
  <c r="N14" i="3"/>
  <c r="N36" i="3"/>
  <c r="N38" i="3"/>
  <c r="N22" i="3"/>
  <c r="N20" i="3"/>
  <c r="N11" i="3"/>
  <c r="N44" i="3"/>
  <c r="N34" i="3"/>
  <c r="N28" i="3"/>
  <c r="N16" i="3"/>
  <c r="N26" i="3"/>
  <c r="N46" i="3"/>
  <c r="N41" i="3"/>
  <c r="N40" i="3"/>
  <c r="N12" i="3"/>
  <c r="N29" i="3"/>
  <c r="N39" i="3"/>
  <c r="N42" i="3"/>
  <c r="N48" i="3"/>
  <c r="N15" i="3"/>
  <c r="N37" i="3"/>
  <c r="N32" i="3"/>
  <c r="N47" i="3"/>
  <c r="N50" i="3"/>
  <c r="N31" i="3"/>
  <c r="N33" i="3"/>
  <c r="N49" i="3"/>
  <c r="N45" i="3"/>
  <c r="N35" i="3"/>
  <c r="N23" i="3"/>
  <c r="N18" i="3"/>
  <c r="N25" i="3"/>
  <c r="N30" i="3"/>
  <c r="N24" i="3"/>
  <c r="N27" i="3"/>
  <c r="N13" i="3"/>
  <c r="N51" i="3"/>
  <c r="N43" i="3"/>
  <c r="N17" i="3"/>
  <c r="N19" i="3"/>
  <c r="I6" i="5" l="1"/>
  <c r="E23" i="15" l="1"/>
  <c r="E152" i="15"/>
  <c r="E151" i="15"/>
  <c r="E150" i="15" l="1"/>
  <c r="D140" i="15" l="1"/>
  <c r="E140" i="15"/>
  <c r="D141" i="15"/>
  <c r="E141" i="15"/>
  <c r="D142" i="15"/>
  <c r="E142" i="15"/>
  <c r="D143" i="15"/>
  <c r="E143" i="15"/>
  <c r="D144" i="15"/>
  <c r="E144" i="15"/>
  <c r="D145" i="15"/>
  <c r="E145" i="15"/>
  <c r="D146" i="15"/>
  <c r="E146" i="15"/>
  <c r="D147" i="15"/>
  <c r="E147" i="15"/>
  <c r="D98" i="15"/>
  <c r="Z2" i="16" s="1"/>
  <c r="AA2" i="16" s="1"/>
  <c r="E98" i="15"/>
  <c r="D99" i="15"/>
  <c r="Z3" i="16" s="1"/>
  <c r="AA3" i="16" s="1"/>
  <c r="E99" i="15"/>
  <c r="D100" i="15"/>
  <c r="Z4" i="16" s="1"/>
  <c r="AA4" i="16" s="1"/>
  <c r="E100" i="15"/>
  <c r="D101" i="15"/>
  <c r="Z5" i="16" s="1"/>
  <c r="AA5" i="16" s="1"/>
  <c r="E101" i="15"/>
  <c r="D102" i="15"/>
  <c r="Z6" i="16" s="1"/>
  <c r="AA6" i="16" s="1"/>
  <c r="E102" i="15"/>
  <c r="D103" i="15"/>
  <c r="Z7" i="16" s="1"/>
  <c r="AA7" i="16" s="1"/>
  <c r="E103" i="15"/>
  <c r="D104" i="15"/>
  <c r="Z8" i="16" s="1"/>
  <c r="AA8" i="16" s="1"/>
  <c r="E104" i="15"/>
  <c r="D105" i="15"/>
  <c r="Z9" i="16" s="1"/>
  <c r="AA9" i="16" s="1"/>
  <c r="E105" i="15"/>
  <c r="D106" i="15"/>
  <c r="Z10" i="16" s="1"/>
  <c r="AA10" i="16" s="1"/>
  <c r="E106" i="15"/>
  <c r="D107" i="15"/>
  <c r="Z11" i="16" s="1"/>
  <c r="AA11" i="16" s="1"/>
  <c r="E107" i="15"/>
  <c r="D108" i="15"/>
  <c r="Z12" i="16" s="1"/>
  <c r="AA12" i="16" s="1"/>
  <c r="E108" i="15"/>
  <c r="D109" i="15"/>
  <c r="Z13" i="16" s="1"/>
  <c r="AA13" i="16" s="1"/>
  <c r="E109" i="15"/>
  <c r="D110" i="15"/>
  <c r="Z14" i="16" s="1"/>
  <c r="AA14" i="16" s="1"/>
  <c r="E110" i="15"/>
  <c r="D111" i="15"/>
  <c r="Z15" i="16" s="1"/>
  <c r="AA15" i="16" s="1"/>
  <c r="E111" i="15"/>
  <c r="D112" i="15"/>
  <c r="Z16" i="16" s="1"/>
  <c r="AA16" i="16" s="1"/>
  <c r="E112" i="15"/>
  <c r="D113" i="15"/>
  <c r="Z17" i="16" s="1"/>
  <c r="AA17" i="16" s="1"/>
  <c r="E113" i="15"/>
  <c r="D114" i="15"/>
  <c r="Z18" i="16" s="1"/>
  <c r="AA18" i="16" s="1"/>
  <c r="E114" i="15"/>
  <c r="D115" i="15"/>
  <c r="Z19" i="16" s="1"/>
  <c r="AA19" i="16" s="1"/>
  <c r="E115" i="15"/>
  <c r="D116" i="15"/>
  <c r="Z20" i="16" s="1"/>
  <c r="AA20" i="16" s="1"/>
  <c r="E116" i="15"/>
  <c r="D117" i="15"/>
  <c r="Z21" i="16" s="1"/>
  <c r="AA21" i="16" s="1"/>
  <c r="E117" i="15"/>
  <c r="D118" i="15"/>
  <c r="Z22" i="16" s="1"/>
  <c r="AA22" i="16" s="1"/>
  <c r="E118" i="15"/>
  <c r="D119" i="15"/>
  <c r="Z23" i="16" s="1"/>
  <c r="AA23" i="16" s="1"/>
  <c r="E119" i="15"/>
  <c r="D120" i="15"/>
  <c r="Z24" i="16" s="1"/>
  <c r="AA24" i="16" s="1"/>
  <c r="E120" i="15"/>
  <c r="D121" i="15"/>
  <c r="Z25" i="16" s="1"/>
  <c r="AA25" i="16" s="1"/>
  <c r="E121" i="15"/>
  <c r="D122" i="15"/>
  <c r="Z26" i="16" s="1"/>
  <c r="AA26" i="16" s="1"/>
  <c r="E122" i="15"/>
  <c r="D123" i="15"/>
  <c r="Z27" i="16" s="1"/>
  <c r="AA27" i="16" s="1"/>
  <c r="E123" i="15"/>
  <c r="D124" i="15"/>
  <c r="Z28" i="16" s="1"/>
  <c r="AA28" i="16" s="1"/>
  <c r="E124" i="15"/>
  <c r="D125" i="15"/>
  <c r="Z29" i="16" s="1"/>
  <c r="AA29" i="16" s="1"/>
  <c r="E125" i="15"/>
  <c r="D126" i="15"/>
  <c r="Z30" i="16" s="1"/>
  <c r="AA30" i="16" s="1"/>
  <c r="E126" i="15"/>
  <c r="D127" i="15"/>
  <c r="Z31" i="16" s="1"/>
  <c r="AA31" i="16" s="1"/>
  <c r="E127" i="15"/>
  <c r="D76" i="15"/>
  <c r="D77" i="15"/>
  <c r="D78" i="15"/>
  <c r="D79" i="15"/>
  <c r="D80" i="15"/>
  <c r="D81" i="15"/>
  <c r="D82" i="15"/>
  <c r="D83" i="15"/>
  <c r="D84" i="15"/>
  <c r="D85" i="15"/>
  <c r="D86" i="15"/>
  <c r="D87" i="15"/>
  <c r="D88" i="15"/>
  <c r="D89" i="15"/>
  <c r="D90" i="15"/>
  <c r="D91" i="15"/>
  <c r="D92" i="15"/>
  <c r="D93" i="15"/>
  <c r="D94" i="15"/>
  <c r="D95" i="15"/>
  <c r="D44" i="15"/>
  <c r="E44" i="15"/>
  <c r="D45" i="15"/>
  <c r="E45" i="15"/>
  <c r="D46" i="15"/>
  <c r="E46" i="15"/>
  <c r="D47" i="15"/>
  <c r="E47" i="15"/>
  <c r="D48" i="15"/>
  <c r="E48" i="15"/>
  <c r="D49" i="15"/>
  <c r="E49" i="15"/>
  <c r="D50" i="15"/>
  <c r="E50" i="15"/>
  <c r="D51" i="15"/>
  <c r="E51" i="15"/>
  <c r="D52" i="15"/>
  <c r="E52" i="15"/>
  <c r="D53" i="15"/>
  <c r="E53" i="15"/>
  <c r="D54" i="15"/>
  <c r="E54" i="15"/>
  <c r="D55" i="15"/>
  <c r="E55" i="15"/>
  <c r="D56" i="15"/>
  <c r="E56" i="15"/>
  <c r="D57" i="15"/>
  <c r="E57" i="15"/>
  <c r="D58" i="15"/>
  <c r="E58" i="15"/>
  <c r="D59" i="15"/>
  <c r="E59" i="15"/>
  <c r="D60" i="15"/>
  <c r="E60" i="15"/>
  <c r="D61" i="15"/>
  <c r="E61" i="15"/>
  <c r="D62" i="15"/>
  <c r="E62" i="15"/>
  <c r="D63" i="15"/>
  <c r="E63" i="15"/>
  <c r="D64" i="15"/>
  <c r="E64" i="15"/>
  <c r="D65" i="15"/>
  <c r="E65" i="15"/>
  <c r="D66" i="15"/>
  <c r="E66" i="15"/>
  <c r="D67" i="15"/>
  <c r="E67" i="15"/>
  <c r="D68" i="15"/>
  <c r="E68" i="15"/>
  <c r="D69" i="15"/>
  <c r="E69" i="15"/>
  <c r="D70" i="15"/>
  <c r="E70" i="15"/>
  <c r="D71" i="15"/>
  <c r="E71" i="15"/>
  <c r="D72" i="15"/>
  <c r="E72" i="15"/>
  <c r="D73" i="15"/>
  <c r="E73" i="15"/>
  <c r="A58" i="15"/>
  <c r="A57" i="15"/>
  <c r="A56" i="15"/>
  <c r="A55" i="15"/>
  <c r="A54" i="15"/>
  <c r="A53" i="15"/>
  <c r="A52" i="15"/>
  <c r="A51" i="15"/>
  <c r="A50" i="15"/>
  <c r="A49" i="15"/>
  <c r="A48" i="15"/>
  <c r="A47" i="15"/>
  <c r="A46" i="15"/>
  <c r="A45" i="15"/>
  <c r="A44" i="15"/>
  <c r="E41" i="15"/>
  <c r="A41" i="15"/>
  <c r="D41" i="15" s="1"/>
  <c r="E40" i="15"/>
  <c r="A40" i="15"/>
  <c r="D40" i="15" s="1"/>
  <c r="E39" i="15"/>
  <c r="A39" i="15"/>
  <c r="D39" i="15" s="1"/>
  <c r="E38" i="15"/>
  <c r="A38" i="15"/>
  <c r="D38" i="15" s="1"/>
  <c r="E37" i="15"/>
  <c r="A37" i="15"/>
  <c r="D37" i="15" s="1"/>
  <c r="E36" i="15"/>
  <c r="A36" i="15"/>
  <c r="D36" i="15" s="1"/>
  <c r="E35" i="15"/>
  <c r="A35" i="15"/>
  <c r="D35" i="15" s="1"/>
  <c r="E34" i="15"/>
  <c r="A34" i="15"/>
  <c r="D34" i="15" s="1"/>
  <c r="E33" i="15"/>
  <c r="A33" i="15"/>
  <c r="D33" i="15" s="1"/>
  <c r="E32" i="15"/>
  <c r="A32" i="15"/>
  <c r="D32" i="15" s="1"/>
  <c r="E31" i="15"/>
  <c r="A31" i="15"/>
  <c r="D31" i="15" s="1"/>
  <c r="E30" i="15"/>
  <c r="A30" i="15"/>
  <c r="D30" i="15" s="1"/>
  <c r="E29" i="15"/>
  <c r="A29" i="15"/>
  <c r="D29" i="15" s="1"/>
  <c r="E28" i="15"/>
  <c r="A28" i="15"/>
  <c r="D28" i="15" s="1"/>
  <c r="E27" i="15"/>
  <c r="A27" i="15"/>
  <c r="D27" i="15" s="1"/>
  <c r="E24" i="15"/>
  <c r="A24" i="15"/>
  <c r="D24" i="15" s="1"/>
  <c r="A23" i="15"/>
  <c r="D23" i="15" s="1"/>
  <c r="E22" i="15"/>
  <c r="A22" i="15"/>
  <c r="D22" i="15" s="1"/>
  <c r="E21" i="15"/>
  <c r="A21" i="15"/>
  <c r="D21" i="15" s="1"/>
  <c r="E20" i="15"/>
  <c r="A20" i="15"/>
  <c r="D20" i="15" s="1"/>
  <c r="E19" i="15"/>
  <c r="A19" i="15"/>
  <c r="D19" i="15" s="1"/>
  <c r="E18" i="15"/>
  <c r="A18" i="15"/>
  <c r="D18" i="15" s="1"/>
  <c r="E17" i="15"/>
  <c r="A17" i="15"/>
  <c r="D17" i="15" s="1"/>
  <c r="E16" i="15"/>
  <c r="A16" i="15"/>
  <c r="D16" i="15" s="1"/>
  <c r="E15" i="15"/>
  <c r="A15" i="15"/>
  <c r="D15" i="15" s="1"/>
  <c r="E14" i="15"/>
  <c r="A14" i="15"/>
  <c r="D14" i="15" s="1"/>
  <c r="E13" i="15"/>
  <c r="A13" i="15"/>
  <c r="D13" i="15" s="1"/>
  <c r="E12" i="15"/>
  <c r="A12" i="15"/>
  <c r="D12" i="15" s="1"/>
  <c r="E11" i="15"/>
  <c r="A11" i="15"/>
  <c r="D11" i="15" s="1"/>
  <c r="E8" i="15"/>
  <c r="A8" i="15"/>
  <c r="D8" i="15" s="1"/>
  <c r="E7" i="15"/>
  <c r="A7" i="15"/>
  <c r="D7" i="15" s="1"/>
  <c r="E6" i="15"/>
  <c r="A6" i="15"/>
  <c r="D6" i="15" s="1"/>
  <c r="E5" i="15"/>
  <c r="A5" i="15"/>
  <c r="D5" i="15" s="1"/>
  <c r="E4" i="15"/>
  <c r="A4" i="15"/>
  <c r="D4" i="15" s="1"/>
  <c r="E3" i="15"/>
  <c r="A3" i="15"/>
  <c r="D3" i="15" s="1"/>
  <c r="E2" i="15"/>
  <c r="A2" i="15"/>
  <c r="D2" i="15" s="1"/>
  <c r="D6" i="5" l="1"/>
  <c r="E6" i="5"/>
  <c r="F14" i="11" l="1"/>
  <c r="G14" i="11"/>
  <c r="H14" i="11"/>
  <c r="I14" i="11"/>
  <c r="J14" i="11"/>
  <c r="E14" i="11"/>
  <c r="Z20" i="5"/>
  <c r="Z21" i="5"/>
  <c r="Z22" i="5"/>
  <c r="Z23" i="5"/>
  <c r="Z24" i="5"/>
  <c r="Z25" i="5"/>
  <c r="Z26" i="5"/>
  <c r="Z27" i="5"/>
  <c r="Z28" i="5"/>
  <c r="Z29" i="5"/>
  <c r="Z30" i="5"/>
  <c r="Z31" i="5"/>
  <c r="Z32" i="5"/>
  <c r="Z33" i="5"/>
  <c r="Z34" i="5"/>
  <c r="Z35" i="5"/>
  <c r="Z36" i="5"/>
  <c r="Z37" i="5"/>
  <c r="Z38" i="5"/>
  <c r="Z39" i="5"/>
  <c r="Z40" i="5"/>
  <c r="Z41" i="5"/>
  <c r="Z42" i="5"/>
  <c r="Z43" i="5"/>
  <c r="Z44" i="5"/>
  <c r="A5" i="11" l="1"/>
  <c r="A6" i="11"/>
  <c r="A7" i="11"/>
  <c r="A8" i="11"/>
  <c r="A9" i="11"/>
  <c r="A10" i="11"/>
  <c r="A11" i="11"/>
  <c r="A12" i="11"/>
  <c r="A13" i="11"/>
  <c r="A4" i="11"/>
  <c r="DD3" i="4" l="1"/>
  <c r="DA3" i="4"/>
  <c r="CD3" i="4"/>
  <c r="CC3" i="4"/>
  <c r="BR3" i="4"/>
  <c r="BQ3" i="4"/>
  <c r="BS3" i="4"/>
  <c r="BK3" i="4"/>
  <c r="BJ3" i="4"/>
  <c r="BL3" i="4"/>
  <c r="BI3" i="4"/>
  <c r="EP3" i="4" l="1"/>
  <c r="EO3" i="4"/>
  <c r="EQ3" i="4"/>
  <c r="EN3" i="4"/>
  <c r="EM3" i="4"/>
  <c r="EL3" i="4"/>
  <c r="EK3" i="4"/>
  <c r="EJ3" i="4"/>
  <c r="EI3" i="4"/>
  <c r="EH3" i="4"/>
  <c r="EG3" i="4"/>
  <c r="ER3" i="4"/>
  <c r="ED3" i="4"/>
  <c r="EB3" i="4"/>
  <c r="EA3" i="4"/>
  <c r="DZ3" i="4"/>
  <c r="DX3" i="4"/>
  <c r="DW3" i="4"/>
  <c r="DV3" i="4"/>
  <c r="DU3" i="4"/>
  <c r="DT3" i="4"/>
  <c r="EE3" i="4"/>
  <c r="DQ3" i="4"/>
  <c r="DP3" i="4"/>
  <c r="DO3" i="4"/>
  <c r="DN3" i="4"/>
  <c r="DM3" i="4"/>
  <c r="DL3" i="4"/>
  <c r="DK3" i="4"/>
  <c r="DJ3" i="4"/>
  <c r="DI3" i="4"/>
  <c r="DR3" i="4"/>
  <c r="DF3" i="4"/>
  <c r="DG3" i="4"/>
  <c r="DC3" i="4"/>
  <c r="DB3" i="4"/>
  <c r="CZ3" i="4"/>
  <c r="CY3" i="4"/>
  <c r="CX3" i="4"/>
  <c r="CW3" i="4"/>
  <c r="CV3" i="4"/>
  <c r="DE3" i="4"/>
  <c r="CS3" i="4"/>
  <c r="CR3" i="4"/>
  <c r="CQ3" i="4"/>
  <c r="CP3" i="4"/>
  <c r="CO3" i="4"/>
  <c r="CN3" i="4"/>
  <c r="CM3" i="4"/>
  <c r="CL3" i="4"/>
  <c r="CK3" i="4"/>
  <c r="CJ3" i="4"/>
  <c r="CI3" i="4"/>
  <c r="CT3" i="4"/>
  <c r="CF3" i="4"/>
  <c r="CE3" i="4"/>
  <c r="CB3" i="4"/>
  <c r="BZ3" i="4"/>
  <c r="CA3" i="4"/>
  <c r="BY3" i="4"/>
  <c r="BX3" i="4"/>
  <c r="BW3" i="4"/>
  <c r="BV3" i="4"/>
  <c r="CG3" i="4"/>
  <c r="BP3" i="4"/>
  <c r="BO3" i="4"/>
  <c r="BN3" i="4"/>
  <c r="BM3" i="4"/>
  <c r="BG3" i="4"/>
  <c r="BF3" i="4"/>
  <c r="BH3" i="4"/>
  <c r="BE3" i="4"/>
  <c r="BD3" i="4"/>
  <c r="BC3" i="4"/>
  <c r="BB3" i="4"/>
  <c r="BT3" i="4"/>
  <c r="AX3" i="4"/>
  <c r="AW3" i="4"/>
  <c r="AY3" i="4"/>
  <c r="AV3" i="4"/>
  <c r="AU3" i="4"/>
  <c r="AT3" i="4"/>
  <c r="AS3" i="4"/>
  <c r="AR3" i="4"/>
  <c r="AQ3" i="4"/>
  <c r="AP3" i="4"/>
  <c r="AO3" i="4"/>
  <c r="AZ3" i="4"/>
  <c r="AL3" i="4"/>
  <c r="AK3" i="4"/>
  <c r="AJ3" i="4"/>
  <c r="AH3" i="4"/>
  <c r="AI3" i="4"/>
  <c r="AG3" i="4"/>
  <c r="AF3" i="4"/>
  <c r="AE3" i="4"/>
  <c r="AD3" i="4"/>
  <c r="AC3" i="4"/>
  <c r="AB3" i="4"/>
  <c r="AM3" i="4"/>
  <c r="Y3" i="4"/>
  <c r="X3" i="4"/>
  <c r="W3" i="4"/>
  <c r="V3" i="4"/>
  <c r="U3" i="4"/>
  <c r="T3" i="4"/>
  <c r="S3" i="4"/>
  <c r="R3" i="4"/>
  <c r="Q3" i="4"/>
  <c r="P3" i="4"/>
  <c r="O3" i="4"/>
  <c r="Z3" i="4"/>
  <c r="C3" i="4"/>
  <c r="D3" i="4"/>
  <c r="E3" i="4"/>
  <c r="F3" i="4"/>
  <c r="G3" i="4"/>
  <c r="H3" i="4"/>
  <c r="I3" i="4"/>
  <c r="K3" i="4"/>
  <c r="J3" i="4"/>
  <c r="M3" i="4"/>
  <c r="L3" i="4"/>
  <c r="B3" i="4"/>
  <c r="Z18" i="5" l="1"/>
  <c r="Z15" i="5"/>
  <c r="Z19" i="5"/>
  <c r="Z17" i="5"/>
  <c r="Z16" i="5"/>
  <c r="H22" i="15" l="1"/>
  <c r="H7" i="5" s="1"/>
  <c r="I12" i="15" l="1"/>
  <c r="J12" i="15"/>
  <c r="J17" i="15" s="1"/>
  <c r="K12" i="15"/>
  <c r="K17" i="15" s="1"/>
  <c r="L12" i="15"/>
  <c r="L17" i="15" s="1"/>
  <c r="M12" i="15"/>
  <c r="M17" i="15" s="1"/>
  <c r="N12" i="15"/>
  <c r="N17" i="15" s="1"/>
  <c r="O12" i="15"/>
  <c r="O17" i="15" s="1"/>
  <c r="I14" i="15"/>
  <c r="K14" i="15"/>
  <c r="K19" i="15" s="1"/>
  <c r="J14" i="15"/>
  <c r="J19" i="15" s="1"/>
  <c r="L14" i="15"/>
  <c r="L19" i="15" s="1"/>
  <c r="M14" i="15"/>
  <c r="M19" i="15" s="1"/>
  <c r="N14" i="15"/>
  <c r="N19" i="15" s="1"/>
  <c r="O14" i="15"/>
  <c r="O19" i="15" s="1"/>
  <c r="I15" i="15"/>
  <c r="J15" i="15"/>
  <c r="J20" i="15" s="1"/>
  <c r="K15" i="15"/>
  <c r="K20" i="15" s="1"/>
  <c r="L15" i="15"/>
  <c r="L20" i="15" s="1"/>
  <c r="M15" i="15"/>
  <c r="M20" i="15" s="1"/>
  <c r="N15" i="15"/>
  <c r="N20" i="15" s="1"/>
  <c r="O15" i="15"/>
  <c r="O20" i="15" s="1"/>
  <c r="J13" i="15"/>
  <c r="J18" i="15" s="1"/>
  <c r="I13" i="15"/>
  <c r="K13" i="15"/>
  <c r="K18" i="15" s="1"/>
  <c r="L13" i="15"/>
  <c r="L18" i="15" s="1"/>
  <c r="M13" i="15"/>
  <c r="M18" i="15" s="1"/>
  <c r="N13" i="15"/>
  <c r="N18" i="15" s="1"/>
  <c r="O13" i="15"/>
  <c r="O18" i="15" s="1"/>
  <c r="V17" i="5"/>
  <c r="V25" i="5"/>
  <c r="V33" i="5"/>
  <c r="V41" i="5"/>
  <c r="V18" i="5"/>
  <c r="V26" i="5"/>
  <c r="V19" i="5"/>
  <c r="V43" i="5"/>
  <c r="V20" i="5"/>
  <c r="V28" i="5"/>
  <c r="V36" i="5"/>
  <c r="V44" i="5"/>
  <c r="V21" i="5"/>
  <c r="V29" i="5"/>
  <c r="V37" i="5"/>
  <c r="V15" i="5"/>
  <c r="V22" i="5"/>
  <c r="V30" i="5"/>
  <c r="V38" i="5"/>
  <c r="V24" i="5"/>
  <c r="V40" i="5"/>
  <c r="V34" i="5"/>
  <c r="V27" i="5"/>
  <c r="V23" i="5"/>
  <c r="V31" i="5"/>
  <c r="V39" i="5"/>
  <c r="V16" i="5"/>
  <c r="V32" i="5"/>
  <c r="V42" i="5"/>
  <c r="V35" i="5"/>
  <c r="I20" i="15" l="1"/>
  <c r="P20" i="15"/>
  <c r="N9" i="15" s="1"/>
  <c r="I19" i="15"/>
  <c r="P19" i="15"/>
  <c r="I18" i="15"/>
  <c r="P18" i="15"/>
  <c r="J7" i="15" s="1"/>
  <c r="I17" i="15"/>
  <c r="P17" i="15"/>
  <c r="L8" i="15" l="1"/>
  <c r="K9" i="15"/>
  <c r="O9" i="15"/>
  <c r="L9" i="15"/>
  <c r="N7" i="15"/>
  <c r="J6" i="15"/>
  <c r="N8" i="15"/>
  <c r="L6" i="15"/>
  <c r="N6" i="15"/>
  <c r="K7" i="15"/>
  <c r="I9" i="15"/>
  <c r="J8" i="15"/>
  <c r="I8" i="15"/>
  <c r="O7" i="15"/>
  <c r="K6" i="15"/>
  <c r="M9" i="15"/>
  <c r="O8" i="15"/>
  <c r="J9" i="15"/>
  <c r="I6" i="15"/>
  <c r="M6" i="15"/>
  <c r="I7" i="15"/>
  <c r="M8" i="15"/>
  <c r="O6" i="15"/>
  <c r="K8" i="15"/>
  <c r="L7" i="15"/>
  <c r="M7" i="15"/>
  <c r="P9" i="15" l="1"/>
  <c r="P8" i="15"/>
  <c r="P7" i="15"/>
  <c r="P6" i="15"/>
  <c r="E4" i="5" s="1"/>
  <c r="D8" i="5" l="1"/>
</calcChain>
</file>

<file path=xl/comments1.xml><?xml version="1.0" encoding="utf-8"?>
<comments xmlns="http://schemas.openxmlformats.org/spreadsheetml/2006/main">
  <authors>
    <author>BESC</author>
  </authors>
  <commentList>
    <comment ref="G5" authorId="0" shapeId="0">
      <text>
        <r>
          <rPr>
            <b/>
            <sz val="9"/>
            <color indexed="81"/>
            <rFont val="Tahoma"/>
            <family val="2"/>
          </rPr>
          <t>Admin:</t>
        </r>
        <r>
          <rPr>
            <sz val="9"/>
            <color indexed="81"/>
            <rFont val="Tahoma"/>
            <family val="2"/>
          </rPr>
          <t xml:space="preserve">
Gets +1D from bonuses</t>
        </r>
      </text>
    </comment>
    <comment ref="G6" authorId="0" shapeId="0">
      <text>
        <r>
          <rPr>
            <b/>
            <sz val="9"/>
            <color indexed="81"/>
            <rFont val="Tahoma"/>
            <family val="2"/>
          </rPr>
          <t xml:space="preserve">Admin:
</t>
        </r>
        <r>
          <rPr>
            <sz val="9"/>
            <color indexed="81"/>
            <rFont val="Tahoma"/>
            <family val="2"/>
          </rPr>
          <t>Gets +2 from bonuses</t>
        </r>
        <r>
          <rPr>
            <sz val="9"/>
            <color indexed="81"/>
            <rFont val="Tahoma"/>
            <family val="2"/>
          </rPr>
          <t xml:space="preserve">
</t>
        </r>
      </text>
    </comment>
  </commentList>
</comments>
</file>

<file path=xl/sharedStrings.xml><?xml version="1.0" encoding="utf-8"?>
<sst xmlns="http://schemas.openxmlformats.org/spreadsheetml/2006/main" count="3178" uniqueCount="1234">
  <si>
    <t>Tier</t>
  </si>
  <si>
    <t>Runes</t>
  </si>
  <si>
    <t>Enchantments</t>
  </si>
  <si>
    <t>STR</t>
  </si>
  <si>
    <t>FIN</t>
  </si>
  <si>
    <t>CRM</t>
  </si>
  <si>
    <t>LOR</t>
  </si>
  <si>
    <t>Min</t>
  </si>
  <si>
    <t>Max</t>
  </si>
  <si>
    <t>Man (Ranger)</t>
  </si>
  <si>
    <t>Man (Urban)</t>
  </si>
  <si>
    <t>Stat</t>
  </si>
  <si>
    <t>Elf (Eldar)</t>
  </si>
  <si>
    <t>Elf (Leafwalker)</t>
  </si>
  <si>
    <t>Centaur (Augur)</t>
  </si>
  <si>
    <t>Centaur (Sentinel)</t>
  </si>
  <si>
    <t>Faun (Forest)</t>
  </si>
  <si>
    <t>Faun (River)</t>
  </si>
  <si>
    <t>Dwarf (Miner)</t>
  </si>
  <si>
    <t>Dwarf (Craftsman)</t>
  </si>
  <si>
    <t>Wild Man (Carnal)</t>
  </si>
  <si>
    <t>Wild Man (Rager)</t>
  </si>
  <si>
    <t>Exiled Elf (Dark)</t>
  </si>
  <si>
    <t>Exiled Elf (Arcane)</t>
  </si>
  <si>
    <t>Minotaur (Bull)</t>
  </si>
  <si>
    <t>Minotaur (Tauren)</t>
  </si>
  <si>
    <t>Satyr (Drunken Sot)</t>
  </si>
  <si>
    <t>Satyr (Mystic)</t>
  </si>
  <si>
    <t>Spectre (Ethereal)</t>
  </si>
  <si>
    <t>Spectre (Undead)</t>
  </si>
  <si>
    <t>Wulvern (Scout)</t>
  </si>
  <si>
    <t>Wulvern (Shaman)</t>
  </si>
  <si>
    <t>Giant (Hill)</t>
  </si>
  <si>
    <t>Giant (Mountain)</t>
  </si>
  <si>
    <t>Troll (River)</t>
  </si>
  <si>
    <t>Troll (Valley)</t>
  </si>
  <si>
    <t>Sprite (Sundancer “Pixi”)</t>
  </si>
  <si>
    <t>Traveler’s Cap (Cloth)</t>
  </si>
  <si>
    <t>Fancy “Dandy” Hat (Cloth)</t>
  </si>
  <si>
    <t>Leather Headguard (Leather)</t>
  </si>
  <si>
    <t>Signet Band (Metal)</t>
  </si>
  <si>
    <t>Balaclava (Cloth)</t>
  </si>
  <si>
    <t>Knight’s Helm (Metal)</t>
  </si>
  <si>
    <t>Hippogryph Helm (Leather)</t>
  </si>
  <si>
    <t>Dragon Helm (Leather)</t>
  </si>
  <si>
    <t>Flowing Robes (Cloth)</t>
  </si>
  <si>
    <t>Padded Armor (Cloth)</t>
  </si>
  <si>
    <t>Fingerless Gloves (Cloth)</t>
  </si>
  <si>
    <t>Leather Jerkin (Leather)</t>
  </si>
  <si>
    <t>Head</t>
  </si>
  <si>
    <t>Legs</t>
  </si>
  <si>
    <t>Feet</t>
  </si>
  <si>
    <t>Back</t>
  </si>
  <si>
    <t>Bandolier (Leather)</t>
  </si>
  <si>
    <t>Leather Bracers (Leather)</t>
  </si>
  <si>
    <r>
      <t>Wolf Hide Vest (Leather)</t>
    </r>
    <r>
      <rPr>
        <sz val="12"/>
        <color theme="1"/>
        <rFont val="Garamond"/>
        <family val="1"/>
      </rPr>
      <t/>
    </r>
  </si>
  <si>
    <t>Leather Brigantine (Leather)</t>
  </si>
  <si>
    <t>Scale Mail Armor (Metal)</t>
  </si>
  <si>
    <t>Metal Bracers (Metal)</t>
  </si>
  <si>
    <t>Metal Gauntlets (Metal)</t>
  </si>
  <si>
    <t>Studded Leather Armor (Leather)</t>
  </si>
  <si>
    <t>Ring Mail Vest (Metal)</t>
  </si>
  <si>
    <t>Plate Mail Armor (Metal)</t>
  </si>
  <si>
    <t>Knight’s Harness (Metal)</t>
  </si>
  <si>
    <t>Undead Armor (Metal)</t>
  </si>
  <si>
    <t>Eldar Harness (Metal)</t>
  </si>
  <si>
    <t>Dragon Mail Armor (Leather)</t>
  </si>
  <si>
    <t>Griffon Brigantine (Leather)</t>
  </si>
  <si>
    <t>Ring Mail Armor (Metal)</t>
  </si>
  <si>
    <t>Wool trousers (Cloth)</t>
  </si>
  <si>
    <t>Leather chinks (Leather)</t>
  </si>
  <si>
    <t>Leather chaps (Leather)</t>
  </si>
  <si>
    <t>Plate Mail Leggings (Metal)</t>
  </si>
  <si>
    <t>Barding Armor (Metal)</t>
  </si>
  <si>
    <t>Mythic Barding Armor (Leather)</t>
  </si>
  <si>
    <r>
      <t>Dark Elf Knee Spikes (Metal)</t>
    </r>
    <r>
      <rPr>
        <sz val="12"/>
        <color theme="1"/>
        <rFont val="Garamond"/>
        <family val="1"/>
      </rPr>
      <t/>
    </r>
  </si>
  <si>
    <t>Wooden Buckler (Wood)</t>
  </si>
  <si>
    <t>Large Round Wooden Shield (Wood)</t>
  </si>
  <si>
    <t>Wooden Ward Shield (Wood)</t>
  </si>
  <si>
    <t>Magic Shield (Ethereal)</t>
  </si>
  <si>
    <r>
      <t>Shroudcloak (Cloth)</t>
    </r>
    <r>
      <rPr>
        <sz val="12"/>
        <color theme="1"/>
        <rFont val="Garamond"/>
        <family val="1"/>
      </rPr>
      <t/>
    </r>
  </si>
  <si>
    <t>Leafwalker Cloak (Cloth)</t>
  </si>
  <si>
    <r>
      <t>Watercloak (Cloth)</t>
    </r>
    <r>
      <rPr>
        <sz val="12"/>
        <color theme="1"/>
        <rFont val="Garamond"/>
        <family val="1"/>
      </rPr>
      <t/>
    </r>
  </si>
  <si>
    <t>Horse/Pony (Mount)</t>
  </si>
  <si>
    <t>Bird (Pet)</t>
  </si>
  <si>
    <t>Small Dog (Pet)</t>
  </si>
  <si>
    <t>Small Cat (Pet)</t>
  </si>
  <si>
    <t>Fox (Familiar)</t>
  </si>
  <si>
    <t>Sparrow (Familiar)</t>
  </si>
  <si>
    <t>Pegasus (Mount)</t>
  </si>
  <si>
    <t>Unicorn (Mount)</t>
  </si>
  <si>
    <t>Hippocampus (Mount)</t>
  </si>
  <si>
    <t>Large Dog (Pet)</t>
  </si>
  <si>
    <t>Big Cat (Pet)</t>
  </si>
  <si>
    <t>Otter (Familiar)</t>
  </si>
  <si>
    <t>Hawk (Familiar)</t>
  </si>
  <si>
    <t>Griffon (Mount)</t>
  </si>
  <si>
    <t>Hippogryph (Mount)</t>
  </si>
  <si>
    <t>Tamed Crag Dragon (Mount)</t>
  </si>
  <si>
    <t>Blue Serpent (Familiar)</t>
  </si>
  <si>
    <t>Phoenix (Familiar)</t>
  </si>
  <si>
    <t>Biting Rune</t>
  </si>
  <si>
    <t>Elegance Rune</t>
  </si>
  <si>
    <t>Beauty Rune</t>
  </si>
  <si>
    <t>Memory Rune</t>
  </si>
  <si>
    <t>Violent Rune</t>
  </si>
  <si>
    <t>Precision Rune</t>
  </si>
  <si>
    <t>Extravagant Rune</t>
  </si>
  <si>
    <t>Remembrance Rune</t>
  </si>
  <si>
    <t>Savage Rune</t>
  </si>
  <si>
    <t>Experienced Rune</t>
  </si>
  <si>
    <t>Visions Rune</t>
  </si>
  <si>
    <t>The Chaos Spell</t>
  </si>
  <si>
    <t>The Balance Spell</t>
  </si>
  <si>
    <t>The Radiant Spell</t>
  </si>
  <si>
    <t>The Cold Chill Spell</t>
  </si>
  <si>
    <t>The Shield Spell</t>
  </si>
  <si>
    <t>The Ward Spell</t>
  </si>
  <si>
    <t>The Untamed Spell</t>
  </si>
  <si>
    <t>The Justice Spell</t>
  </si>
  <si>
    <t>The Protector Spell</t>
  </si>
  <si>
    <t>The Parthenor Spell</t>
  </si>
  <si>
    <t>The Floating Spell</t>
  </si>
  <si>
    <t>The Flame Spell</t>
  </si>
  <si>
    <t>The Flailing Spell</t>
  </si>
  <si>
    <t>The Graceful Spell</t>
  </si>
  <si>
    <t>The Atonement Spell</t>
  </si>
  <si>
    <t>The Withering Spell</t>
  </si>
  <si>
    <t>The Speech Spell</t>
  </si>
  <si>
    <t>The Return Spell</t>
  </si>
  <si>
    <t>Iron Weaponry</t>
  </si>
  <si>
    <t>Reinforced Leather Armor</t>
  </si>
  <si>
    <t>Iron Armor</t>
  </si>
  <si>
    <t>Wolf Leather Armor</t>
  </si>
  <si>
    <t>Steel Weaponry</t>
  </si>
  <si>
    <t>Steel Armor</t>
  </si>
  <si>
    <t>Dwarf Steel Weaponry</t>
  </si>
  <si>
    <t>Serpent Scale Leather Armor</t>
  </si>
  <si>
    <t>Dwarf Steel Armor</t>
  </si>
  <si>
    <t>Adamantine Weaponry</t>
  </si>
  <si>
    <t>Dragon Scale Leather Armor</t>
  </si>
  <si>
    <t>Adamantine Armor</t>
  </si>
  <si>
    <t>Boron Armor</t>
  </si>
  <si>
    <t>Boron Weaponry</t>
  </si>
  <si>
    <t>Spell Name</t>
  </si>
  <si>
    <t>Light</t>
  </si>
  <si>
    <t>Ray of Light</t>
  </si>
  <si>
    <t>Light of Life</t>
  </si>
  <si>
    <t>Emanating Glow</t>
  </si>
  <si>
    <t>Loose the Chains</t>
  </si>
  <si>
    <t>Sunlance</t>
  </si>
  <si>
    <t>Glorious Hue</t>
  </si>
  <si>
    <t>Fell-Light Blade</t>
  </si>
  <si>
    <t>Shield of Adar</t>
  </si>
  <si>
    <t>Fell and Fair</t>
  </si>
  <si>
    <t>Bathed in Sunlight</t>
  </si>
  <si>
    <t>Stellar Convergence</t>
  </si>
  <si>
    <t>Fire</t>
  </si>
  <si>
    <t>Earth</t>
  </si>
  <si>
    <t>Dark</t>
  </si>
  <si>
    <t>Arcane</t>
  </si>
  <si>
    <t>Air</t>
  </si>
  <si>
    <t>Water</t>
  </si>
  <si>
    <t>Stoke the Fires</t>
  </si>
  <si>
    <t>Fireball</t>
  </si>
  <si>
    <t>Flame Cage</t>
  </si>
  <si>
    <t>Fire Whip</t>
  </si>
  <si>
    <t>The Fire Within Me</t>
  </si>
  <si>
    <t>Firecone</t>
  </si>
  <si>
    <t>Flameblade</t>
  </si>
  <si>
    <t>Firewall</t>
  </si>
  <si>
    <t>Touch of Fire</t>
  </si>
  <si>
    <t>Lava Flow</t>
  </si>
  <si>
    <t>Flaming Cascade</t>
  </si>
  <si>
    <t>Life Growth</t>
  </si>
  <si>
    <t>Duststorm</t>
  </si>
  <si>
    <t>Tree Root</t>
  </si>
  <si>
    <t>Insta-Boulder</t>
  </si>
  <si>
    <t>Door in the Mountain</t>
  </si>
  <si>
    <t>Earthworks</t>
  </si>
  <si>
    <t>Plasma Bloom</t>
  </si>
  <si>
    <t>The Floating Stairs</t>
  </si>
  <si>
    <t>Pit of Death</t>
  </si>
  <si>
    <t>Healing Rain</t>
  </si>
  <si>
    <t>Terra Cotta Fusillade</t>
  </si>
  <si>
    <t>Terra Cotta Army</t>
  </si>
  <si>
    <t>Mist of Darkness</t>
  </si>
  <si>
    <t>Dark Dart</t>
  </si>
  <si>
    <t>Levitate</t>
  </si>
  <si>
    <t>Darkness of the Forest</t>
  </si>
  <si>
    <t>Shrivel Flesh</t>
  </si>
  <si>
    <t>Apparate</t>
  </si>
  <si>
    <t>Blade of Death</t>
  </si>
  <si>
    <t>Soul Shroud</t>
  </si>
  <si>
    <t>Hatred of the Light</t>
  </si>
  <si>
    <t>Darkness Is My Ally</t>
  </si>
  <si>
    <t>Soul Command</t>
  </si>
  <si>
    <t>Necromancy</t>
  </si>
  <si>
    <t>Touch of the Cold</t>
  </si>
  <si>
    <t>Fell Sight</t>
  </si>
  <si>
    <t>Secrecy is Key</t>
  </si>
  <si>
    <t>Star Gazer</t>
  </si>
  <si>
    <t>Strength in Mystery</t>
  </si>
  <si>
    <t>Enigmatic Blight</t>
  </si>
  <si>
    <t>Cold is the Void</t>
  </si>
  <si>
    <t>Surge from the Darkness</t>
  </si>
  <si>
    <t>Waterfall</t>
  </si>
  <si>
    <t>Sweet Water</t>
  </si>
  <si>
    <t>Downpour</t>
  </si>
  <si>
    <t>Pounding Wave</t>
  </si>
  <si>
    <t>Surging Ripples</t>
  </si>
  <si>
    <t>Tidal Wave</t>
  </si>
  <si>
    <t>Pulsing Currents</t>
  </si>
  <si>
    <t>Crystal Clear</t>
  </si>
  <si>
    <t>Swirling Whirlpool</t>
  </si>
  <si>
    <t>Tidal Stampede</t>
  </si>
  <si>
    <t>Billowing Gust</t>
  </si>
  <si>
    <t>Refreshing Breeze</t>
  </si>
  <si>
    <t>Whispers of the Wind</t>
  </si>
  <si>
    <t>Beating Wind</t>
  </si>
  <si>
    <t>Personal Whirlwind</t>
  </si>
  <si>
    <t>Lightning Strike</t>
  </si>
  <si>
    <t>Snowstorm</t>
  </si>
  <si>
    <t>Anvil Cloud</t>
  </si>
  <si>
    <t>Lightning Cascade</t>
  </si>
  <si>
    <t>Torso A:</t>
  </si>
  <si>
    <t>Torso B:</t>
  </si>
  <si>
    <t>Arms A:</t>
  </si>
  <si>
    <t>Arms B:</t>
  </si>
  <si>
    <t>Legs A:</t>
  </si>
  <si>
    <t>Legs B:</t>
  </si>
  <si>
    <t>Feet:</t>
  </si>
  <si>
    <t>Equipped Weapons:</t>
  </si>
  <si>
    <t>Right Hand:</t>
  </si>
  <si>
    <t>Left Hand:</t>
  </si>
  <si>
    <t>Ranged Weapon:</t>
  </si>
  <si>
    <t>Wanderer’s Staff (Wood) - 1 Hand</t>
  </si>
  <si>
    <t>Wanderer’s Staff (Wood) - 2 Hands</t>
  </si>
  <si>
    <t>Centaur Aiglos (Metal)</t>
  </si>
  <si>
    <t>Character Name:</t>
  </si>
  <si>
    <t>Hometown:</t>
  </si>
  <si>
    <t>Weaponry</t>
  </si>
  <si>
    <t>Leather Boots (Leather)</t>
  </si>
  <si>
    <t>Race (Class):</t>
  </si>
  <si>
    <t>Affiliation (Align):</t>
  </si>
  <si>
    <t>Pip</t>
  </si>
  <si>
    <t>Wolf Hide Vest (Leather)</t>
  </si>
  <si>
    <t>Torso</t>
  </si>
  <si>
    <t>Arms</t>
  </si>
  <si>
    <t>Dark Elf Knee Spikes (Metal)</t>
  </si>
  <si>
    <t>Darkcloak (Cloth)</t>
  </si>
  <si>
    <t>Firecloak (Cloth)</t>
  </si>
  <si>
    <t>King’s Griffon Cloak (Leather)</t>
  </si>
  <si>
    <t>Traveler’s Cloak (Cloth)</t>
  </si>
  <si>
    <t>Hooded Cloak (Cloth)</t>
  </si>
  <si>
    <t>Fur-Lined Cloak (Cloth)</t>
  </si>
  <si>
    <r>
      <t>Wolf Pelt Cloak (Leather)</t>
    </r>
    <r>
      <rPr>
        <sz val="12"/>
        <color theme="1"/>
        <rFont val="Garamond"/>
        <family val="1"/>
      </rPr>
      <t/>
    </r>
  </si>
  <si>
    <t>Climber Boots (Leather)</t>
  </si>
  <si>
    <t>Steel Boots (Metal)</t>
  </si>
  <si>
    <t>Silk Slippers (Cloth)</t>
  </si>
  <si>
    <t>Leafwalker Sandals (Leather)</t>
  </si>
  <si>
    <t>Steel Shoes (Metal)</t>
  </si>
  <si>
    <t>Swashbuckler Boots (Leather)</t>
  </si>
  <si>
    <t>Back:</t>
  </si>
  <si>
    <t>Torso C:</t>
  </si>
  <si>
    <t>Locket</t>
  </si>
  <si>
    <t>Craftsman Tools (Metal)</t>
  </si>
  <si>
    <t>Tinderbox</t>
  </si>
  <si>
    <t xml:space="preserve">Satchel (Reinforced Cloth) </t>
  </si>
  <si>
    <t>Cauldron (Metal)</t>
  </si>
  <si>
    <t>Lorebook (Herblore)</t>
  </si>
  <si>
    <t>Lorebook (Tracking)</t>
  </si>
  <si>
    <t>Lorebook (Customs/Cultures)</t>
  </si>
  <si>
    <t>Lorebook (Comic Book)</t>
  </si>
  <si>
    <t>Lorebook (Lore of Light)</t>
  </si>
  <si>
    <t>Lorebook (Lore of Fire)</t>
  </si>
  <si>
    <t>Lorebook (Lore of Earth)</t>
  </si>
  <si>
    <t>Lorebook (Lore of Air)</t>
  </si>
  <si>
    <t>Lorebook (Lore of Water)</t>
  </si>
  <si>
    <t>Hip A:</t>
  </si>
  <si>
    <t>Hip B:</t>
  </si>
  <si>
    <t>Hips</t>
  </si>
  <si>
    <t>Lorebook (Harrower Lore)</t>
  </si>
  <si>
    <t>Lorebook (Time Lore)</t>
  </si>
  <si>
    <t>Lorebook (Holy Lore)</t>
  </si>
  <si>
    <t>Lorebook (Dark Lore)</t>
  </si>
  <si>
    <t>Lorebook (Arcane Lore)</t>
  </si>
  <si>
    <t>Ring (Ruby - T1 Fire)</t>
  </si>
  <si>
    <t>Ring (Diamond - T1 Light)</t>
  </si>
  <si>
    <t>Ring (Emerald - T1 Earth)</t>
  </si>
  <si>
    <t>Ring (Obsidian - T1 Dark)</t>
  </si>
  <si>
    <t>Ring (Amethyst - T1 Arcane)</t>
  </si>
  <si>
    <t>Ring (Sapphire - T1 Water)</t>
  </si>
  <si>
    <t>Ring (Beryl - T1 Air)</t>
  </si>
  <si>
    <t>Ring (Cat's Eye - T1 Stone)</t>
  </si>
  <si>
    <t>Ring (Elengond - T1 Holy)</t>
  </si>
  <si>
    <t>Ring (Quartz - T1 Time)</t>
  </si>
  <si>
    <t>Ring (Opal - T1 Harrower)</t>
  </si>
  <si>
    <t>AVERAGE</t>
  </si>
  <si>
    <t>Character Stat Line</t>
  </si>
  <si>
    <t>WEAK</t>
  </si>
  <si>
    <t>Character Equipment</t>
  </si>
  <si>
    <t>Character Enhancements</t>
  </si>
  <si>
    <t>STRONG</t>
  </si>
  <si>
    <t>Emphasis</t>
  </si>
  <si>
    <t>Pts</t>
  </si>
  <si>
    <t>Time</t>
  </si>
  <si>
    <t>Harrower</t>
  </si>
  <si>
    <t>Time Lapse</t>
  </si>
  <si>
    <t>Touching Time Past</t>
  </si>
  <si>
    <t>Timely Words</t>
  </si>
  <si>
    <t>Time Crunch</t>
  </si>
  <si>
    <t>Time Bubble</t>
  </si>
  <si>
    <t>Déjà vu</t>
  </si>
  <si>
    <t>Veil of Time</t>
  </si>
  <si>
    <t>Time Warp</t>
  </si>
  <si>
    <t>The Sands of Time</t>
  </si>
  <si>
    <t>Item Location</t>
  </si>
  <si>
    <t>Item Name</t>
  </si>
  <si>
    <t>Mounts:</t>
  </si>
  <si>
    <t>Implanted Gem (Ruby)</t>
  </si>
  <si>
    <t>Implanted Gem (Emerald)</t>
  </si>
  <si>
    <t>Implanted Gem (Sapphire)</t>
  </si>
  <si>
    <t>Implanted Gem (Diamond)</t>
  </si>
  <si>
    <t>Ring: Signet</t>
  </si>
  <si>
    <t>Leather Strap Harness (Leather)</t>
  </si>
  <si>
    <t>Satchel (Reinforced Cloth)</t>
  </si>
  <si>
    <t>Lorebook (Lore of Stone)</t>
  </si>
  <si>
    <t>Adjective Name:</t>
  </si>
  <si>
    <t>Description Name:</t>
  </si>
  <si>
    <t>Adjective Tier:</t>
  </si>
  <si>
    <t>Description Tier:</t>
  </si>
  <si>
    <t>Alloys</t>
  </si>
  <si>
    <t>Compute Data</t>
  </si>
  <si>
    <t>Name</t>
  </si>
  <si>
    <t>ID</t>
  </si>
  <si>
    <t>Necklace (Ruby)</t>
  </si>
  <si>
    <t>Necklace (Diamond)</t>
  </si>
  <si>
    <t>Necklace (Obsidian)</t>
  </si>
  <si>
    <t>Necklace (Amethyst)</t>
  </si>
  <si>
    <t>Necklace (Beryl)</t>
  </si>
  <si>
    <t>Necklace (Sapphire)</t>
  </si>
  <si>
    <t>Necklace (Cat's Eye)</t>
  </si>
  <si>
    <t>Necklace (Elegond)</t>
  </si>
  <si>
    <t>Necklace (Quartz)</t>
  </si>
  <si>
    <t>Necklace (Opal)</t>
  </si>
  <si>
    <t>Sailor’s Worn Garments (Cloth)</t>
  </si>
  <si>
    <t>Hunter’s Jacket (Leather)</t>
  </si>
  <si>
    <t>Wulvern Scout’s Vest (Leather)</t>
  </si>
  <si>
    <t>Eagle-Feathered Cloak (Cloth)</t>
  </si>
  <si>
    <t>Hummingbird (Mount)</t>
  </si>
  <si>
    <t>Adventurer’s Vest (Leather)</t>
  </si>
  <si>
    <t>Silk Shirt (Cloth)</t>
  </si>
  <si>
    <t>Peasant’s Smock (Cloth)</t>
  </si>
  <si>
    <t>Faun Doublet (Leather)</t>
  </si>
  <si>
    <t>Tauren Doublet (Leather)</t>
  </si>
  <si>
    <t>Alloy 1</t>
  </si>
  <si>
    <t>Alloy 2</t>
  </si>
  <si>
    <t>Alloy 3</t>
  </si>
  <si>
    <t>Alloy 4</t>
  </si>
  <si>
    <t>Alloy 5</t>
  </si>
  <si>
    <t>Wolf Pelt Cloak (Leather)</t>
  </si>
  <si>
    <t>Shroudcloak (Cloth)</t>
  </si>
  <si>
    <t>Watercloak (Cloth)</t>
  </si>
  <si>
    <t>Preternatural Dodge</t>
  </si>
  <si>
    <t>Runes/Enchantments</t>
  </si>
  <si>
    <t>Spells</t>
  </si>
  <si>
    <t>Spell Name:</t>
  </si>
  <si>
    <t>Character</t>
  </si>
  <si>
    <t>Alopen (Padfoot)</t>
  </si>
  <si>
    <t>Alopen (Trickster)</t>
  </si>
  <si>
    <t>Dawnwraith (Slinker)</t>
  </si>
  <si>
    <t>Dawnwraith (Singer)</t>
  </si>
  <si>
    <t>Eagleman (Sentry)</t>
  </si>
  <si>
    <t>Eagleman (Screecher)</t>
  </si>
  <si>
    <t>Special Rules</t>
  </si>
  <si>
    <t>Lore</t>
  </si>
  <si>
    <t>Magic Lookups</t>
  </si>
  <si>
    <t>Augur Staff (Wood) - 1 Hand</t>
  </si>
  <si>
    <t>Augur Staff (Wood) - 2 Hands</t>
  </si>
  <si>
    <t>Axe (Metal)</t>
  </si>
  <si>
    <t>Battle Staff (Wood) - 2 Hands</t>
  </si>
  <si>
    <t>Broadsword (Metal)</t>
  </si>
  <si>
    <t>Claymore (Metal) - 2 Hands</t>
  </si>
  <si>
    <t>Club (Wood)</t>
  </si>
  <si>
    <t>Cutlass (Metal)</t>
  </si>
  <si>
    <t>Double-Bit Axe (Metal)</t>
  </si>
  <si>
    <t>Faun Spear (Wood)</t>
  </si>
  <si>
    <t>Flail (Metal)</t>
  </si>
  <si>
    <t>Giant Club (Wood) - 2 Hands</t>
  </si>
  <si>
    <t>Halberd/Glaive (Wood)</t>
  </si>
  <si>
    <t>Hammer (Metal)</t>
  </si>
  <si>
    <t>Knife (Metal)</t>
  </si>
  <si>
    <t>Longsword (Metal)</t>
  </si>
  <si>
    <t>Mace (Metal)</t>
  </si>
  <si>
    <t>Mattock (Metal) - 2 Hands</t>
  </si>
  <si>
    <t>War Hammer (Metal) - 2 Hands</t>
  </si>
  <si>
    <t>Crossbow (Wood)</t>
  </si>
  <si>
    <t>Dark Crossbow (Wood)</t>
  </si>
  <si>
    <t>Glaive Dagger (Metal)</t>
  </si>
  <si>
    <t>Throwing Axe (Metal)</t>
  </si>
  <si>
    <t>Throwing Dagger (Metal)</t>
  </si>
  <si>
    <t>Throwing Spear (Wood)</t>
  </si>
  <si>
    <t>Coif (Metal)</t>
  </si>
  <si>
    <t>Dress (Cloth)</t>
  </si>
  <si>
    <t>Helmet (Metal)</t>
  </si>
  <si>
    <t>Visored Helm (Metal)</t>
  </si>
  <si>
    <t>Head A:</t>
  </si>
  <si>
    <t>Head B:</t>
  </si>
  <si>
    <t>Iron Knuckles (Metal)</t>
  </si>
  <si>
    <t>Switchblade (Metal)</t>
  </si>
  <si>
    <t>Nunchuk (Wood)</t>
  </si>
  <si>
    <t>Death Dancer Blade (Metal)</t>
  </si>
  <si>
    <t>Dart Dagger (Metal)</t>
  </si>
  <si>
    <t>Throwing Star (Metal)</t>
  </si>
  <si>
    <t>Smoke Pellet</t>
  </si>
  <si>
    <t>Elven Glaive Dagger (Metal)</t>
  </si>
  <si>
    <t>Fire Pellet</t>
  </si>
  <si>
    <t>Silent Stalker (Wood)</t>
  </si>
  <si>
    <t>Facemask (Cloth)</t>
  </si>
  <si>
    <t>Fanciful Masque (Cloth)</t>
  </si>
  <si>
    <t>Skee Mask (Cloth)</t>
  </si>
  <si>
    <t>Houseguard Helm (Metal)</t>
  </si>
  <si>
    <t>Light Initiate’s Staff (Wood) - 1 Hand</t>
  </si>
  <si>
    <t>Light Initiate’s Staff (Wood) - 2 Hands</t>
  </si>
  <si>
    <t>Fire Initiate’s Staff (Wood) - 1 Hand</t>
  </si>
  <si>
    <t>Fire Initiate’s Staff (Wood) - 2 Hands</t>
  </si>
  <si>
    <t>Earth Initiate’s Staff (Wood) - 1 Hand</t>
  </si>
  <si>
    <t>Earth Initiate’s Staff (Wood) - 2 Hands</t>
  </si>
  <si>
    <t>Dark Initiate’s Staff (Wood) - 1 Hand</t>
  </si>
  <si>
    <t>Dark Initiate’s Staff (Wood) - 2 Hands</t>
  </si>
  <si>
    <t>Arcane Initiate’s Staff (Wood) - 1 Hand</t>
  </si>
  <si>
    <t>Arcane Initiate’s Staff (Wood) - 2 Hands</t>
  </si>
  <si>
    <t>Water Initiate’s Staff (Wood) - 1 Hand</t>
  </si>
  <si>
    <t>Water Initiate’s Staff (Wood) - 2 Hands</t>
  </si>
  <si>
    <t>Air Initiate’s Staff (Wood) - 1 Hand</t>
  </si>
  <si>
    <t>Air Initiate’s Staff (Wood) - 2 Hands</t>
  </si>
  <si>
    <t>Time Initiate’s Staff (Wood) - 1 Hand</t>
  </si>
  <si>
    <t>Time Initiate’s Staff (Wood) - 2 Hands</t>
  </si>
  <si>
    <t>Nightstalker’s Shirt (Cloth)</t>
  </si>
  <si>
    <t>Nightwatcher’s Jerkin (Leather)</t>
  </si>
  <si>
    <t>Houseguard Uniform (Cloth)</t>
  </si>
  <si>
    <t>Houseguard Jerkin (Leather)</t>
  </si>
  <si>
    <t>Assassin’s Jerkin (Cloth)</t>
  </si>
  <si>
    <t>Alopen Vest (Leather)</t>
  </si>
  <si>
    <t>Spiked Bracer (Leather)</t>
  </si>
  <si>
    <t>Shimmershirt (Cloth)</t>
  </si>
  <si>
    <t>Scaler's Knees (Leather)</t>
  </si>
  <si>
    <t>Drag Net</t>
  </si>
  <si>
    <t>Pocket Mirror</t>
  </si>
  <si>
    <t>Treated Vine</t>
  </si>
  <si>
    <t>Magic Mirror</t>
  </si>
  <si>
    <t>Cotton Fabric</t>
  </si>
  <si>
    <t>Linen Fabric</t>
  </si>
  <si>
    <t>Silk Fabric</t>
  </si>
  <si>
    <t>Lodestone</t>
  </si>
  <si>
    <t>Stone Flesh</t>
  </si>
  <si>
    <t>Marble Complexion</t>
  </si>
  <si>
    <t>Resist Poison</t>
  </si>
  <si>
    <t>Quartz Sight</t>
  </si>
  <si>
    <t>Full D</t>
  </si>
  <si>
    <t>Arms C:</t>
  </si>
  <si>
    <t>Item Name:</t>
  </si>
  <si>
    <r>
      <t xml:space="preserve">Light Initiate’s Staff (Wood) </t>
    </r>
    <r>
      <rPr>
        <sz val="12"/>
        <rFont val="Garamond"/>
        <family val="1"/>
      </rPr>
      <t>- 1 Hand</t>
    </r>
  </si>
  <si>
    <r>
      <t xml:space="preserve">Light Initiate’s Staff (Wood) </t>
    </r>
    <r>
      <rPr>
        <sz val="12"/>
        <rFont val="Garamond"/>
        <family val="1"/>
      </rPr>
      <t>- 2 Hands</t>
    </r>
  </si>
  <si>
    <r>
      <t xml:space="preserve">Fire Initiate’s Staff (Wood) </t>
    </r>
    <r>
      <rPr>
        <sz val="12"/>
        <rFont val="Garamond"/>
        <family val="1"/>
      </rPr>
      <t>- 1 Hand</t>
    </r>
  </si>
  <si>
    <r>
      <t xml:space="preserve">Fire Initiate’s Staff (Wood) </t>
    </r>
    <r>
      <rPr>
        <sz val="12"/>
        <rFont val="Garamond"/>
        <family val="1"/>
      </rPr>
      <t>- 2 Hands</t>
    </r>
  </si>
  <si>
    <r>
      <t xml:space="preserve">Earth Initiate’s Staff (Wood) </t>
    </r>
    <r>
      <rPr>
        <sz val="12"/>
        <rFont val="Garamond"/>
        <family val="1"/>
      </rPr>
      <t>- 1 Hand</t>
    </r>
  </si>
  <si>
    <r>
      <t xml:space="preserve">Earth Initiate’s Staff (Wood) </t>
    </r>
    <r>
      <rPr>
        <sz val="12"/>
        <rFont val="Garamond"/>
        <family val="1"/>
      </rPr>
      <t>- 2 Hands</t>
    </r>
  </si>
  <si>
    <r>
      <t xml:space="preserve">Dark Initiate’s Staff (Wood) </t>
    </r>
    <r>
      <rPr>
        <sz val="12"/>
        <rFont val="Garamond"/>
        <family val="1"/>
      </rPr>
      <t>- 1 Hand</t>
    </r>
  </si>
  <si>
    <r>
      <t xml:space="preserve">Dark Initiate’s Staff (Wood) </t>
    </r>
    <r>
      <rPr>
        <sz val="12"/>
        <rFont val="Garamond"/>
        <family val="1"/>
      </rPr>
      <t>- 2 Hands</t>
    </r>
  </si>
  <si>
    <r>
      <t xml:space="preserve">Arcane Initiate’s Staff (Wood) </t>
    </r>
    <r>
      <rPr>
        <sz val="12"/>
        <rFont val="Garamond"/>
        <family val="1"/>
      </rPr>
      <t>- 1 Hand</t>
    </r>
  </si>
  <si>
    <r>
      <t xml:space="preserve">Arcane Initiate’s Staff (Wood) </t>
    </r>
    <r>
      <rPr>
        <sz val="12"/>
        <rFont val="Garamond"/>
        <family val="1"/>
      </rPr>
      <t>- 2 Hands</t>
    </r>
  </si>
  <si>
    <r>
      <t xml:space="preserve">Water Initiate’s Staff (Wood) </t>
    </r>
    <r>
      <rPr>
        <sz val="12"/>
        <rFont val="Garamond"/>
        <family val="1"/>
      </rPr>
      <t>- 1 Hand</t>
    </r>
  </si>
  <si>
    <r>
      <t xml:space="preserve">Water Initiate’s Staff (Wood) </t>
    </r>
    <r>
      <rPr>
        <sz val="12"/>
        <rFont val="Garamond"/>
        <family val="1"/>
      </rPr>
      <t>- 2 Hands</t>
    </r>
  </si>
  <si>
    <r>
      <t xml:space="preserve">Air Initiate’s Staff (Wood) </t>
    </r>
    <r>
      <rPr>
        <sz val="12"/>
        <rFont val="Garamond"/>
        <family val="1"/>
      </rPr>
      <t>- 1 Hand</t>
    </r>
  </si>
  <si>
    <r>
      <t xml:space="preserve">Air Initiate’s Staff (Wood) </t>
    </r>
    <r>
      <rPr>
        <sz val="12"/>
        <rFont val="Garamond"/>
        <family val="1"/>
      </rPr>
      <t>- 2 Hands</t>
    </r>
  </si>
  <si>
    <r>
      <t xml:space="preserve">Time Initiate’s Staff (Wood) </t>
    </r>
    <r>
      <rPr>
        <sz val="12"/>
        <rFont val="Garamond"/>
        <family val="1"/>
      </rPr>
      <t>- 1 Hand</t>
    </r>
  </si>
  <si>
    <r>
      <t xml:space="preserve">Time Initiate’s Staff (Wood) </t>
    </r>
    <r>
      <rPr>
        <sz val="12"/>
        <rFont val="Garamond"/>
        <family val="1"/>
      </rPr>
      <t>- 2 Hands</t>
    </r>
  </si>
  <si>
    <r>
      <t>Wanderer’s Staff (Wood)</t>
    </r>
    <r>
      <rPr>
        <sz val="12"/>
        <rFont val="Garamond"/>
        <family val="1"/>
      </rPr>
      <t xml:space="preserve"> - 1 Hand</t>
    </r>
  </si>
  <si>
    <r>
      <t>Wanderer’s Staff (Wood)</t>
    </r>
    <r>
      <rPr>
        <sz val="12"/>
        <rFont val="Garamond"/>
        <family val="1"/>
      </rPr>
      <t xml:space="preserve"> - 2 Hands</t>
    </r>
  </si>
  <si>
    <t>Traveler's Robes (Cloth)</t>
  </si>
  <si>
    <t>Metal Training Buckler (Metal)</t>
  </si>
  <si>
    <t>Metal Kite Shield (Metal)</t>
  </si>
  <si>
    <t>Metal Ward Shield (Metal)</t>
  </si>
  <si>
    <t>Metal Tower Shield (Metal)</t>
  </si>
  <si>
    <r>
      <t>Centaur Aiglos</t>
    </r>
    <r>
      <rPr>
        <sz val="12"/>
        <rFont val="Garamond"/>
        <family val="1"/>
      </rPr>
      <t xml:space="preserve"> </t>
    </r>
    <r>
      <rPr>
        <b/>
        <sz val="12"/>
        <rFont val="Garamond"/>
        <family val="1"/>
      </rPr>
      <t>(Metal)</t>
    </r>
  </si>
  <si>
    <t>Trade Cart (Wood)</t>
  </si>
  <si>
    <r>
      <t>Ring</t>
    </r>
    <r>
      <rPr>
        <sz val="12"/>
        <rFont val="Garamond"/>
        <family val="1"/>
      </rPr>
      <t xml:space="preserve">: </t>
    </r>
    <r>
      <rPr>
        <b/>
        <sz val="12"/>
        <rFont val="Garamond"/>
        <family val="1"/>
      </rPr>
      <t>Signet</t>
    </r>
  </si>
  <si>
    <t>Breathe Fire</t>
  </si>
  <si>
    <t>Dark Curse</t>
  </si>
  <si>
    <t>Counterspell</t>
  </si>
  <si>
    <t>Cold Touch</t>
  </si>
  <si>
    <t>Fill With Terror</t>
  </si>
  <si>
    <t>Steal Their Joy</t>
  </si>
  <si>
    <t>Numb Their Minds</t>
  </si>
  <si>
    <t>Devolve</t>
  </si>
  <si>
    <t>Essence Blight</t>
  </si>
  <si>
    <t>Possess</t>
  </si>
  <si>
    <t>Spawn of the Void</t>
  </si>
  <si>
    <t>The Folds of Death</t>
  </si>
  <si>
    <t>Hide Vest (Leather)</t>
  </si>
  <si>
    <t>Coarse Shirt (Leather)</t>
  </si>
  <si>
    <r>
      <t>Wulvern Claymore (Metal)</t>
    </r>
    <r>
      <rPr>
        <sz val="12"/>
        <rFont val="Garamond"/>
        <family val="1"/>
      </rPr>
      <t xml:space="preserve"> - 2 Hands</t>
    </r>
  </si>
  <si>
    <t>Blowgun (Wood)</t>
  </si>
  <si>
    <t>Assassin's Cloak (Cloth)</t>
  </si>
  <si>
    <t>Earthcloak (Cloth)</t>
  </si>
  <si>
    <t>Aether</t>
  </si>
  <si>
    <t>Cold Fire</t>
  </si>
  <si>
    <t>Wild at Heart</t>
  </si>
  <si>
    <t>Flame Body</t>
  </si>
  <si>
    <t>Refuel</t>
  </si>
  <si>
    <t>Pyromaster</t>
  </si>
  <si>
    <t>Channeling the Flame</t>
  </si>
  <si>
    <t>Aether Shades</t>
  </si>
  <si>
    <t>Aether Chrysalis</t>
  </si>
  <si>
    <t>Aether Dragon</t>
  </si>
  <si>
    <t>Frag Fireball</t>
  </si>
  <si>
    <t>On Item:</t>
  </si>
  <si>
    <t>Rune:</t>
  </si>
  <si>
    <t>Enchantment:</t>
  </si>
  <si>
    <t>Basilisk Venom</t>
  </si>
  <si>
    <t>Lute (Wood)</t>
  </si>
  <si>
    <t>Drum (Wood)</t>
  </si>
  <si>
    <t>Piano (Wood)</t>
  </si>
  <si>
    <t>Human Lute (Wood)</t>
  </si>
  <si>
    <t>Elven Piano/Organ (Wood)</t>
  </si>
  <si>
    <t>Flute (Wood)</t>
  </si>
  <si>
    <t>Flute (Metal)</t>
  </si>
  <si>
    <t>Flute (Bone)</t>
  </si>
  <si>
    <t>Harp (Wood)</t>
  </si>
  <si>
    <t>Harp (Metal)</t>
  </si>
  <si>
    <t>Faun Flute (Wood)</t>
  </si>
  <si>
    <t>Faun Flute (Bone)</t>
  </si>
  <si>
    <t>Nymph Harp (Wood)</t>
  </si>
  <si>
    <t>Nymph Harp (Metal)</t>
  </si>
  <si>
    <t>Minotaur Horn (Metal)</t>
  </si>
  <si>
    <t>Minotaur Horn (Wood)</t>
  </si>
  <si>
    <t>Minotaur Horn (Horn)</t>
  </si>
  <si>
    <t>White Snakeroot Poison</t>
  </si>
  <si>
    <t>Spider Venom</t>
  </si>
  <si>
    <t>Giant Hogweed Poison</t>
  </si>
  <si>
    <t>Columbine Poison</t>
  </si>
  <si>
    <t>Desert Rose Poison</t>
  </si>
  <si>
    <t>Viper Venom</t>
  </si>
  <si>
    <t>Wolfsbane Poison</t>
  </si>
  <si>
    <t>Nightshade Poison</t>
  </si>
  <si>
    <t>Worble Venom</t>
  </si>
  <si>
    <t>Giant Hogweed Salve</t>
  </si>
  <si>
    <t>Columbine Salve</t>
  </si>
  <si>
    <t>Desert Rose Salve</t>
  </si>
  <si>
    <t>Wolfsbane Salve</t>
  </si>
  <si>
    <t>Nightshade Salve</t>
  </si>
  <si>
    <t>Poisons/Salves</t>
  </si>
  <si>
    <t>LAST ENTRY</t>
  </si>
  <si>
    <t>Holy Water</t>
  </si>
  <si>
    <t>Righteous Fury</t>
  </si>
  <si>
    <t>Holy Ward</t>
  </si>
  <si>
    <t>Holy Blade</t>
  </si>
  <si>
    <t>Spear of Tython</t>
  </si>
  <si>
    <t>Word of Power</t>
  </si>
  <si>
    <t>Adar’s Protection</t>
  </si>
  <si>
    <t>Mount’s Metal Guard (Metal)</t>
  </si>
  <si>
    <t>Order Tunic (Cloth)</t>
  </si>
  <si>
    <t>Raven (Familiar)</t>
  </si>
  <si>
    <r>
      <t>Poisonous Tree Frog (Pet)</t>
    </r>
    <r>
      <rPr>
        <sz val="12"/>
        <color theme="1"/>
        <rFont val="Garamond"/>
        <family val="1"/>
      </rPr>
      <t/>
    </r>
  </si>
  <si>
    <t>Aether Volans (Familiar)</t>
  </si>
  <si>
    <t>Troubled Waters</t>
  </si>
  <si>
    <t>Calm Sea</t>
  </si>
  <si>
    <t>Geyser</t>
  </si>
  <si>
    <t>Ocean Breeze</t>
  </si>
  <si>
    <t>Furious Storm</t>
  </si>
  <si>
    <t>Rivers of the Underdeep</t>
  </si>
  <si>
    <t>Placid Sea</t>
  </si>
  <si>
    <t>Painted Hide Vest (Leather)</t>
  </si>
  <si>
    <t>Hooded Sweeping Cloak (Cloth)</t>
  </si>
  <si>
    <t>Ring (Blood Ruby - T1 Aether)</t>
  </si>
  <si>
    <t>Necklace (Blood Ruby)</t>
  </si>
  <si>
    <t>Necklace (Pearl)</t>
  </si>
  <si>
    <t>Ring (Pearl - T1 Tethlys)</t>
  </si>
  <si>
    <t>x</t>
  </si>
  <si>
    <t>Minus Full D</t>
  </si>
  <si>
    <t>Reinforced Fabric</t>
  </si>
  <si>
    <t>Common</t>
  </si>
  <si>
    <t>Soaring Gust</t>
  </si>
  <si>
    <t>Charged Blade</t>
  </si>
  <si>
    <t>Guiding Breeze</t>
  </si>
  <si>
    <t>Chilling Fury</t>
  </si>
  <si>
    <t>Icicle Shard</t>
  </si>
  <si>
    <t>Ice Ramp</t>
  </si>
  <si>
    <t>Lightning Weapon</t>
  </si>
  <si>
    <t>Ice Shard Battery</t>
  </si>
  <si>
    <t>Ice Wall</t>
  </si>
  <si>
    <t>Chain Lightning</t>
  </si>
  <si>
    <t>Sand Flurry</t>
  </si>
  <si>
    <t>Baking Sun</t>
  </si>
  <si>
    <t>Arid Breeze</t>
  </si>
  <si>
    <t>Oasis</t>
  </si>
  <si>
    <t>Sandstorm</t>
  </si>
  <si>
    <t>Quicksand</t>
  </si>
  <si>
    <t>Parching Wind</t>
  </si>
  <si>
    <t>The Elusive Plea</t>
  </si>
  <si>
    <t>The Rose Arose</t>
  </si>
  <si>
    <t>Pull from the Portal</t>
  </si>
  <si>
    <t>The Stream of Bunnies</t>
  </si>
  <si>
    <t>Chinese Cups and Bowls</t>
  </si>
  <si>
    <t>Card Trick</t>
  </si>
  <si>
    <t>The Unending Bag</t>
  </si>
  <si>
    <t>Escape the Tank</t>
  </si>
  <si>
    <t>Summon Bird</t>
  </si>
  <si>
    <t>Animation</t>
  </si>
  <si>
    <t>The Speed Spell</t>
  </si>
  <si>
    <t>Phantom Strength</t>
  </si>
  <si>
    <t>Animal Speech</t>
  </si>
  <si>
    <t>Power Shield</t>
  </si>
  <si>
    <t>Fell Appearance</t>
  </si>
  <si>
    <t>The Lock Spell</t>
  </si>
  <si>
    <t>The Charm Spell</t>
  </si>
  <si>
    <t>Healing Touch</t>
  </si>
  <si>
    <t>Magic Burst</t>
  </si>
  <si>
    <t>Magic Wave</t>
  </si>
  <si>
    <t>Race-Specific Descriptions</t>
  </si>
  <si>
    <t>Alloy</t>
  </si>
  <si>
    <t>Steel Shoes</t>
  </si>
  <si>
    <t>Mount Gear</t>
  </si>
  <si>
    <t>Weapon</t>
  </si>
  <si>
    <t>Adjective #1:</t>
  </si>
  <si>
    <t>Adjective #2:</t>
  </si>
  <si>
    <t>Adjective #3:</t>
  </si>
  <si>
    <t>Adjective #4:</t>
  </si>
  <si>
    <t>Adjective #5:</t>
  </si>
  <si>
    <t>Playable Races (Classes)</t>
  </si>
  <si>
    <t>Bonus D</t>
  </si>
  <si>
    <t>Alloy?</t>
  </si>
  <si>
    <t>Type</t>
  </si>
  <si>
    <t>Metal Round Shield (Metal)</t>
  </si>
  <si>
    <t>Battering Ram (Wood)</t>
  </si>
  <si>
    <t>Power Stone</t>
  </si>
  <si>
    <t>Warding Scroll</t>
  </si>
  <si>
    <t>Sprite (Dark “Imp”)</t>
  </si>
  <si>
    <t>Tonfa (Wood)</t>
  </si>
  <si>
    <t>Metal Tonfa (Metal)</t>
  </si>
  <si>
    <t>Pitchfork - 1 Hand</t>
  </si>
  <si>
    <t>Pitchfork - 2 Hands</t>
  </si>
  <si>
    <t>Spear (Wood) - 1 Hand</t>
  </si>
  <si>
    <t>Spear (Wood) - 2 Hands</t>
  </si>
  <si>
    <r>
      <t>Holy Initiate’s Staff (Wood)</t>
    </r>
    <r>
      <rPr>
        <sz val="12"/>
        <rFont val="Garamond"/>
        <family val="1"/>
      </rPr>
      <t xml:space="preserve"> - 1 Hand</t>
    </r>
  </si>
  <si>
    <r>
      <t>Holy Initiate’s Staff (Wood)</t>
    </r>
    <r>
      <rPr>
        <sz val="12"/>
        <rFont val="Garamond"/>
        <family val="1"/>
      </rPr>
      <t xml:space="preserve"> - 2 Hands</t>
    </r>
  </si>
  <si>
    <r>
      <t xml:space="preserve">Aether Initiate’s Staff (Wood) </t>
    </r>
    <r>
      <rPr>
        <sz val="12"/>
        <rFont val="Garamond"/>
        <family val="1"/>
      </rPr>
      <t>- 1 Hand</t>
    </r>
  </si>
  <si>
    <r>
      <t xml:space="preserve">Aether Initiate’s Staff (Wood) </t>
    </r>
    <r>
      <rPr>
        <sz val="12"/>
        <rFont val="Garamond"/>
        <family val="1"/>
      </rPr>
      <t>- 2 Hands</t>
    </r>
  </si>
  <si>
    <r>
      <t xml:space="preserve">Stone Initiate’s Staff (Wood) </t>
    </r>
    <r>
      <rPr>
        <sz val="12"/>
        <rFont val="Garamond"/>
        <family val="1"/>
      </rPr>
      <t>- 1 Hand</t>
    </r>
  </si>
  <si>
    <r>
      <t xml:space="preserve">Stone Initiate’s Staff (Wood) </t>
    </r>
    <r>
      <rPr>
        <sz val="12"/>
        <rFont val="Garamond"/>
        <family val="1"/>
      </rPr>
      <t>- 2 Hands</t>
    </r>
  </si>
  <si>
    <r>
      <t xml:space="preserve">Desert Initiate’s Staff (Wood) </t>
    </r>
    <r>
      <rPr>
        <sz val="12"/>
        <rFont val="Garamond"/>
        <family val="1"/>
      </rPr>
      <t>- 1 Hand</t>
    </r>
  </si>
  <si>
    <r>
      <t xml:space="preserve">Desert Initiate’s Staff (Wood) </t>
    </r>
    <r>
      <rPr>
        <sz val="12"/>
        <rFont val="Garamond"/>
        <family val="1"/>
      </rPr>
      <t>- 2 Hands</t>
    </r>
  </si>
  <si>
    <r>
      <t xml:space="preserve">Harrower Initiate’s Staff (Wood) </t>
    </r>
    <r>
      <rPr>
        <sz val="12"/>
        <rFont val="Garamond"/>
        <family val="1"/>
      </rPr>
      <t>- 1 Hand</t>
    </r>
  </si>
  <si>
    <r>
      <t xml:space="preserve">Harrower Initiate’s Staff (Wood) </t>
    </r>
    <r>
      <rPr>
        <sz val="12"/>
        <rFont val="Garamond"/>
        <family val="1"/>
      </rPr>
      <t>- 2 Hands</t>
    </r>
  </si>
  <si>
    <r>
      <t xml:space="preserve">Tethlys Initiate’s Staff (Wood) </t>
    </r>
    <r>
      <rPr>
        <sz val="12"/>
        <rFont val="Garamond"/>
        <family val="1"/>
      </rPr>
      <t>- 1 Hand</t>
    </r>
  </si>
  <si>
    <r>
      <t xml:space="preserve">Tethlys Initiate’s Staff (Wood) </t>
    </r>
    <r>
      <rPr>
        <sz val="12"/>
        <rFont val="Garamond"/>
        <family val="1"/>
      </rPr>
      <t>- 2 Hands</t>
    </r>
  </si>
  <si>
    <t>Heavens Initiate’s Staff (Wood) - 1 Hand</t>
  </si>
  <si>
    <t>Heavens Initiate’s Staff (Wood) - 2 Hands</t>
  </si>
  <si>
    <t>Shadow Initiate’s Staff (Wood) - 1 Hand</t>
  </si>
  <si>
    <t>Shadow Initiate’s Staff (Wood) - 2 Hands</t>
  </si>
  <si>
    <r>
      <t xml:space="preserve">Common Lore Initiate’s Staff (Wood) </t>
    </r>
    <r>
      <rPr>
        <sz val="12"/>
        <rFont val="Garamond"/>
        <family val="1"/>
      </rPr>
      <t>- 1 Hand</t>
    </r>
  </si>
  <si>
    <r>
      <t xml:space="preserve">Common Lore Initiate’s Staff (Wood) </t>
    </r>
    <r>
      <rPr>
        <sz val="12"/>
        <rFont val="Garamond"/>
        <family val="1"/>
      </rPr>
      <t>- 2 Hands</t>
    </r>
  </si>
  <si>
    <r>
      <t>Faun Spear (Wood)</t>
    </r>
    <r>
      <rPr>
        <sz val="12"/>
        <rFont val="Garamond"/>
        <family val="1"/>
      </rPr>
      <t xml:space="preserve"> - 2 Hands</t>
    </r>
  </si>
  <si>
    <r>
      <t>Halberd/Glaive (Wood)</t>
    </r>
    <r>
      <rPr>
        <sz val="12"/>
        <rFont val="Garamond"/>
        <family val="1"/>
      </rPr>
      <t xml:space="preserve"> - 2 Hands</t>
    </r>
  </si>
  <si>
    <r>
      <t>Claymore (Metal)</t>
    </r>
    <r>
      <rPr>
        <sz val="12"/>
        <rFont val="Garamond"/>
        <family val="1"/>
      </rPr>
      <t xml:space="preserve"> - 2 Hands</t>
    </r>
  </si>
  <si>
    <r>
      <t>War Hammer (Metal)</t>
    </r>
    <r>
      <rPr>
        <sz val="12"/>
        <rFont val="Garamond"/>
        <family val="1"/>
      </rPr>
      <t xml:space="preserve"> - 2 Hands</t>
    </r>
  </si>
  <si>
    <r>
      <t>Mattock (Metal)</t>
    </r>
    <r>
      <rPr>
        <sz val="12"/>
        <rFont val="Garamond"/>
        <family val="1"/>
      </rPr>
      <t xml:space="preserve"> - 2 Hands</t>
    </r>
  </si>
  <si>
    <r>
      <t>Giant Club (Wood)</t>
    </r>
    <r>
      <rPr>
        <sz val="12"/>
        <rFont val="Garamond"/>
        <family val="1"/>
      </rPr>
      <t xml:space="preserve"> - 2 Hands</t>
    </r>
  </si>
  <si>
    <r>
      <t>Mangonel (Wood)</t>
    </r>
    <r>
      <rPr>
        <sz val="12"/>
        <rFont val="Garamond"/>
        <family val="1"/>
      </rPr>
      <t xml:space="preserve"> - 2 Hands</t>
    </r>
  </si>
  <si>
    <r>
      <t>Ballista (Wood)</t>
    </r>
    <r>
      <rPr>
        <sz val="12"/>
        <rFont val="Garamond"/>
        <family val="1"/>
      </rPr>
      <t xml:space="preserve"> - 2 Hands</t>
    </r>
  </si>
  <si>
    <r>
      <t>Catapult (Wood)</t>
    </r>
    <r>
      <rPr>
        <sz val="12"/>
        <rFont val="Garamond"/>
        <family val="1"/>
      </rPr>
      <t xml:space="preserve"> - 2 Hands</t>
    </r>
  </si>
  <si>
    <r>
      <t>Trebuchet (Wood)</t>
    </r>
    <r>
      <rPr>
        <sz val="12"/>
        <rFont val="Garamond"/>
        <family val="1"/>
      </rPr>
      <t xml:space="preserve"> - 2 Hands</t>
    </r>
  </si>
  <si>
    <r>
      <t>Shortbow (Wood)</t>
    </r>
    <r>
      <rPr>
        <sz val="12"/>
        <rFont val="Garamond"/>
        <family val="1"/>
      </rPr>
      <t xml:space="preserve"> - 2 Hands</t>
    </r>
  </si>
  <si>
    <r>
      <t>Hunter’s Bow (Wood)</t>
    </r>
    <r>
      <rPr>
        <sz val="12"/>
        <rFont val="Garamond"/>
        <family val="1"/>
      </rPr>
      <t xml:space="preserve"> - 2 Hands</t>
    </r>
  </si>
  <si>
    <r>
      <t>Longbow (Wood)</t>
    </r>
    <r>
      <rPr>
        <sz val="12"/>
        <rFont val="Garamond"/>
        <family val="1"/>
      </rPr>
      <t xml:space="preserve"> - 2 Hands</t>
    </r>
  </si>
  <si>
    <t>Lorebook (Desert Lore)</t>
  </si>
  <si>
    <t>Lorebook (Lore of Aether)</t>
  </si>
  <si>
    <t>Lorebook (Lore of Heavens)</t>
  </si>
  <si>
    <t>Lorebook (Tethlys Lore)</t>
  </si>
  <si>
    <t>Lorebook (Shadow Lore)</t>
  </si>
  <si>
    <t>Lorebook (Common Lore)</t>
  </si>
  <si>
    <t>Ray of Hope</t>
  </si>
  <si>
    <t>Animagus (Wolf)</t>
  </si>
  <si>
    <t>Animagus (Bear)</t>
  </si>
  <si>
    <t>Animagus (Snake)</t>
  </si>
  <si>
    <t>Animagus (Serpent)</t>
  </si>
  <si>
    <t>Animagus (Griffon)</t>
  </si>
  <si>
    <t>Dimensional Anchor</t>
  </si>
  <si>
    <t>Transmogrify (Mountain Troll)</t>
  </si>
  <si>
    <t>Transmogrify (Hippogryph)</t>
  </si>
  <si>
    <t>Transmogrify (Crag Dragon)</t>
  </si>
  <si>
    <t>Transmogrify (Feral Dragon)</t>
  </si>
  <si>
    <t>Tidal Steed</t>
  </si>
  <si>
    <t>Mistbody</t>
  </si>
  <si>
    <t>Touching the Timeline</t>
  </si>
  <si>
    <t>Temporal Shift</t>
  </si>
  <si>
    <t>Holy Initiate’s Staff (Wood) - 1 Hand</t>
  </si>
  <si>
    <t>Holy Initiate’s Staff (Wood) - 2 Hands</t>
  </si>
  <si>
    <t>Aether Initiate’s Staff (Wood) - 1 Hand</t>
  </si>
  <si>
    <t>Aether Initiate’s Staff (Wood) - 2 Hands</t>
  </si>
  <si>
    <t>Stone Initiate’s Staff (Wood) - 1 Hand</t>
  </si>
  <si>
    <t>Stone Initiate’s Staff (Wood) - 2 Hands</t>
  </si>
  <si>
    <t>Desert Initiate’s Staff (Wood) - 1 Hand</t>
  </si>
  <si>
    <t>Desert Initiate’s Staff (Wood) - 2 Hands</t>
  </si>
  <si>
    <t>Harrower Initiate’s Staff (Wood) - 1 Hand</t>
  </si>
  <si>
    <t>Harrower Initiate’s Staff (Wood) - 2 Hands</t>
  </si>
  <si>
    <t>Tethlys Initiate’s Staff (Wood) - 1 Hand</t>
  </si>
  <si>
    <t>Tethlys Initiate’s Staff (Wood) - 2 Hands</t>
  </si>
  <si>
    <t>Common Lore Initiate’s Staff (Wood) - 1 Hand</t>
  </si>
  <si>
    <t>Common Lore Initiate’s Staff (Wood) - 2 Hands</t>
  </si>
  <si>
    <t>Faun Spear (Wood) - 2 Hands</t>
  </si>
  <si>
    <t>Halberd/Glaive (Wood) - 2 Hands</t>
  </si>
  <si>
    <t>Ballista (Wood) - 2 Hands</t>
  </si>
  <si>
    <t>Catapult (Wood) - 2 Hands</t>
  </si>
  <si>
    <t>Hunter’s Bow (Wood) - 2 Hands</t>
  </si>
  <si>
    <t>Longbow (Wood) - 2 Hands</t>
  </si>
  <si>
    <t>Mangonel (Wood) - 2 Hands</t>
  </si>
  <si>
    <t>Shortbow (Wood) - 2 Hands</t>
  </si>
  <si>
    <t>Trebuchet (Wood) - 2 Hands</t>
  </si>
  <si>
    <t>Huntress Skirt/Kilt (Leather)</t>
  </si>
  <si>
    <t>Hummingbird (Pet)</t>
  </si>
  <si>
    <t>----------LIGHT----------</t>
  </si>
  <si>
    <t>----------FIRE----------</t>
  </si>
  <si>
    <t>----------HOLY----------</t>
  </si>
  <si>
    <t>----------TETHLYS----------</t>
  </si>
  <si>
    <t>----------COMMON----------</t>
  </si>
  <si>
    <t>----------SHADOWS----------</t>
  </si>
  <si>
    <t>----------DESERT----------</t>
  </si>
  <si>
    <t>----------HEAVENS----------</t>
  </si>
  <si>
    <t>----------AETHER----------</t>
  </si>
  <si>
    <t>----------STONE----------</t>
  </si>
  <si>
    <t>----------HARROWER----------</t>
  </si>
  <si>
    <t>----------TIME----------</t>
  </si>
  <si>
    <t>----------AIR----------</t>
  </si>
  <si>
    <t>----------WATER----------</t>
  </si>
  <si>
    <t>----------ARCANE----------</t>
  </si>
  <si>
    <t>----------DARK----------</t>
  </si>
  <si>
    <t>----------EARTH----------</t>
  </si>
  <si>
    <t>Adjective #6:</t>
  </si>
  <si>
    <t>Adjective #7:</t>
  </si>
  <si>
    <t>Adjective #8:</t>
  </si>
  <si>
    <t>Adjective #9:</t>
  </si>
  <si>
    <t>Adjective #10:</t>
  </si>
  <si>
    <t>--------MELEE--------</t>
  </si>
  <si>
    <t>--------RANGE--------</t>
  </si>
  <si>
    <t>--------SHIELD--------</t>
  </si>
  <si>
    <t>Dispeller’s Staff (Wood) - 2 Hands</t>
  </si>
  <si>
    <t>Hooded Fur-Lined Cloak (Cloth)</t>
  </si>
  <si>
    <t>-----INSTRUMENTS-----</t>
  </si>
  <si>
    <t>Hemp Rope (Rope)</t>
  </si>
  <si>
    <t>Tricks/Feats</t>
  </si>
  <si>
    <t>Aerial Attack</t>
  </si>
  <si>
    <t>Power Strike</t>
  </si>
  <si>
    <t>Double Shot</t>
  </si>
  <si>
    <t>Leading Shot</t>
  </si>
  <si>
    <t>Roiling Magic</t>
  </si>
  <si>
    <t>Wisps of Magic</t>
  </si>
  <si>
    <t>Side Step</t>
  </si>
  <si>
    <t>Whirlwind Attack</t>
  </si>
  <si>
    <t>Lightning Attack</t>
  </si>
  <si>
    <t>Quick Shot</t>
  </si>
  <si>
    <t>Bank Shot</t>
  </si>
  <si>
    <t>Cloistered Spell</t>
  </si>
  <si>
    <t>Thrumming Magic</t>
  </si>
  <si>
    <t>Leap Back</t>
  </si>
  <si>
    <t>Twirling Blades</t>
  </si>
  <si>
    <t>Brutal Charge</t>
  </si>
  <si>
    <t>Triple Shot</t>
  </si>
  <si>
    <t>Rapid Reload</t>
  </si>
  <si>
    <t>Silent Cast</t>
  </si>
  <si>
    <t>Shattered Spell</t>
  </si>
  <si>
    <t>Whirling Dervish</t>
  </si>
  <si>
    <t>Tricks/Feats:</t>
  </si>
  <si>
    <t>Trick/Feat:</t>
  </si>
  <si>
    <t>Alloys2</t>
  </si>
  <si>
    <r>
      <t>Minotaur Great Axe (Metal+Wood)</t>
    </r>
    <r>
      <rPr>
        <sz val="12"/>
        <rFont val="Garamond"/>
        <family val="1"/>
      </rPr>
      <t xml:space="preserve"> - 2 Hands</t>
    </r>
  </si>
  <si>
    <t>Minotaur Great Axe (Metal+Wood) - 2 Hands</t>
  </si>
  <si>
    <t>Creature #1:</t>
  </si>
  <si>
    <t>Creature #2:</t>
  </si>
  <si>
    <t>Creature #3:</t>
  </si>
  <si>
    <t>Creature #4:</t>
  </si>
  <si>
    <t>Creature #5:</t>
  </si>
  <si>
    <t>Creature #6:</t>
  </si>
  <si>
    <t>Creature #7:</t>
  </si>
  <si>
    <t>Creature #8:</t>
  </si>
  <si>
    <t>Item:</t>
  </si>
  <si>
    <t>----------Weapon----------</t>
  </si>
  <si>
    <t>----------Clothing----------</t>
  </si>
  <si>
    <t>--------POISON--------</t>
  </si>
  <si>
    <t>--------SALVE--------</t>
  </si>
  <si>
    <t>Post-Creation</t>
  </si>
  <si>
    <t>--------GEAR--------</t>
  </si>
  <si>
    <t>----JEWELRY-NECK----</t>
  </si>
  <si>
    <t>----JEWELRY-RINGS----</t>
  </si>
  <si>
    <t>Obsidian Skin</t>
  </si>
  <si>
    <t>Stoneworks</t>
  </si>
  <si>
    <t>Necklace (Wulfenite)</t>
  </si>
  <si>
    <t>Ring (Wulfenite - T1 Desert)</t>
  </si>
  <si>
    <t>Necklace (Londonite)</t>
  </si>
  <si>
    <t>Ring (Londonite - T1 Heavens)</t>
  </si>
  <si>
    <t>Special_A</t>
  </si>
  <si>
    <t>Special_B</t>
  </si>
  <si>
    <t>Special_C</t>
  </si>
  <si>
    <t>Special_G</t>
  </si>
  <si>
    <t>Special_F</t>
  </si>
  <si>
    <t>Special_E</t>
  </si>
  <si>
    <t>Special_D</t>
  </si>
  <si>
    <t>Magic Arrays</t>
  </si>
  <si>
    <t>Iron Knuckles (Metal) - 2 Hands</t>
  </si>
  <si>
    <r>
      <t>Troll Lightning Hammer (Metal)</t>
    </r>
    <r>
      <rPr>
        <sz val="12"/>
        <color theme="1"/>
        <rFont val="Garamond"/>
        <family val="1"/>
      </rPr>
      <t/>
    </r>
  </si>
  <si>
    <t>Troll Lightning Hammer (Metal)</t>
  </si>
  <si>
    <t>Human Greatsword (Metal) - 2 Hands</t>
  </si>
  <si>
    <t>Spectral Blade (Metal)</t>
  </si>
  <si>
    <t>Satyr Mace (Metal) - 2 Hands</t>
  </si>
  <si>
    <t>Dwarven War Pick (Metal)</t>
  </si>
  <si>
    <t>Dwarven War Pick (Metal) - 2 Hands</t>
  </si>
  <si>
    <t>Pike (Wood) - 2 Hands</t>
  </si>
  <si>
    <t>Eagleman Glaive (Wood)</t>
  </si>
  <si>
    <t>Sprite Wand (Wood)</t>
  </si>
  <si>
    <t>Light/Holy Loremaster’s Staff (Wood)</t>
  </si>
  <si>
    <t>Light/Holy Loremaster’s Staff (Wood) - 2 Hands</t>
  </si>
  <si>
    <t>Fire/Aether Loremaster’s Staff (Wood)</t>
  </si>
  <si>
    <t>Fire/Aether Loremaster’s Staff (Wood) - 2 Hands</t>
  </si>
  <si>
    <t>Earth/Stone Loremaster’s Staff (Wood)</t>
  </si>
  <si>
    <t>Earth/Stone Loremaster’s Staff (Wood) - 2 Hands</t>
  </si>
  <si>
    <t>Earth/Desert Loremaster’s Staff (Wood)</t>
  </si>
  <si>
    <t>Earth/Desert Loremaster’s Staff (Wood) - 2 Hands</t>
  </si>
  <si>
    <t>Dark/Harrower Loremaster’s Staff (Wood)</t>
  </si>
  <si>
    <t>Dark/Harrower Loremaster’s Staff (Wood) - 2 Hands</t>
  </si>
  <si>
    <t>Air/Heavens Loremaster’s Staff (Wood)</t>
  </si>
  <si>
    <t>Air/Heavens Loremaster’s Staff (Wood) - 2 Hands</t>
  </si>
  <si>
    <t>Water/Tethlys Loremaster’s Staff (Wood)</t>
  </si>
  <si>
    <t>Water/Tethlys Loremaster’s Staff (Wood) - 2 Hands</t>
  </si>
  <si>
    <t>Arcane Loremaster’s Staff (Wood)</t>
  </si>
  <si>
    <t>Arcane Loremaster’s Staff (Wood) - 2 Hands</t>
  </si>
  <si>
    <t>Time Loremaster’s Staff (Wood)</t>
  </si>
  <si>
    <t>Time Loremaster’s Staff (Wood) - 2 Hands</t>
  </si>
  <si>
    <t>Shadow Loremaster’s Staff (Wood)</t>
  </si>
  <si>
    <t>Shadow Loremaster’s Staff (Wood) - 2 Hands</t>
  </si>
  <si>
    <t>Common Loremaster’s Staff (Wood)</t>
  </si>
  <si>
    <t>Common Loremaster’s Staff (Wood) - 2 Hands</t>
  </si>
  <si>
    <t>PURCHASED</t>
  </si>
  <si>
    <t>LORE</t>
  </si>
  <si>
    <t>Hazel Weaponry</t>
  </si>
  <si>
    <t>Yew Weaponry</t>
  </si>
  <si>
    <t>Oak Weaponry</t>
  </si>
  <si>
    <t>Temar Weaponry</t>
  </si>
  <si>
    <t>Yew Armor</t>
  </si>
  <si>
    <t>Hazel Armor</t>
  </si>
  <si>
    <t>Oak Armor</t>
  </si>
  <si>
    <t>Temar Armor</t>
  </si>
  <si>
    <t>Elven Battle Bow (Metal+Wood) - 2 Hands</t>
  </si>
  <si>
    <t>Dispeller’s Staff (Wood) - 1 Hand</t>
  </si>
  <si>
    <t>Wild Man Hammer-Axe (Metal) - 2 Hands</t>
  </si>
  <si>
    <t>Helmet Padding (Cloth)</t>
  </si>
  <si>
    <t>Amazon Cuirass (Leather)</t>
  </si>
  <si>
    <t>Wulvern Hunter Armor (Leather)</t>
  </si>
  <si>
    <t>Dwarven Plate Harness (Metal)</t>
  </si>
  <si>
    <t>Padded Leggings (Cloth)</t>
  </si>
  <si>
    <t>Small Round Wooden Shield (Wood)</t>
  </si>
  <si>
    <t>Spyglass (Wood)</t>
  </si>
  <si>
    <t>Scrying Pool</t>
  </si>
  <si>
    <t>Equipment</t>
  </si>
  <si>
    <t>Creature #9:</t>
  </si>
  <si>
    <t>Creature #10:</t>
  </si>
  <si>
    <t>Creatures</t>
  </si>
  <si>
    <t>Creature Type</t>
  </si>
  <si>
    <t>Creature</t>
  </si>
  <si>
    <t>Creature Adjectives/Descriptions</t>
  </si>
  <si>
    <t>Character Attributes</t>
  </si>
  <si>
    <t>Plus 2</t>
  </si>
  <si>
    <t>Minus 2</t>
  </si>
  <si>
    <t>Bonus #1</t>
  </si>
  <si>
    <t>Bonus #2</t>
  </si>
  <si>
    <t>Bonus #3</t>
  </si>
  <si>
    <t>Bonus #4</t>
  </si>
  <si>
    <t>Bonus #5</t>
  </si>
  <si>
    <t>Bonus #6</t>
  </si>
  <si>
    <t>Other Rules &amp; Creature Owner</t>
  </si>
  <si>
    <t>Attribute Name</t>
  </si>
  <si>
    <t>Poisonous Tree Frog (Pet)</t>
  </si>
  <si>
    <t>Equip Cost</t>
  </si>
  <si>
    <t>Enhance Cost</t>
  </si>
  <si>
    <t>Character Points:</t>
  </si>
  <si>
    <t>Initial:</t>
  </si>
  <si>
    <t>Purchased:</t>
  </si>
  <si>
    <t>Statline Cost</t>
  </si>
  <si>
    <t>Char Pts</t>
  </si>
  <si>
    <t>Wulvern Claymore (Metal) - 2 Hands</t>
  </si>
  <si>
    <t>Alignment Points:</t>
  </si>
  <si>
    <t>Light:</t>
  </si>
  <si>
    <t>Dark:</t>
  </si>
  <si>
    <t>Light Align:</t>
  </si>
  <si>
    <t>Dark Align:</t>
  </si>
  <si>
    <t>Javelin (Metal)</t>
  </si>
  <si>
    <t>Great Eagle (Mount)</t>
  </si>
  <si>
    <t>Pips</t>
  </si>
  <si>
    <t>Gear</t>
  </si>
  <si>
    <t>Armor</t>
  </si>
  <si>
    <t>Special Abilities</t>
  </si>
  <si>
    <t>Do Stun Damage</t>
  </si>
  <si>
    <t>Requires Two Hands</t>
  </si>
  <si>
    <t>Grants a Pocket</t>
  </si>
  <si>
    <t>Use One-Handed Item with Two Hands</t>
  </si>
  <si>
    <t>Multiple Items Bought as One</t>
  </si>
  <si>
    <t>Follow-Up Attack after Parry</t>
  </si>
  <si>
    <t>+1 Upgradable Alloy on the Item</t>
  </si>
  <si>
    <t>+1 to two Charm bonuses</t>
  </si>
  <si>
    <t>Inflict Dented</t>
  </si>
  <si>
    <t>Inflict Bleeding</t>
  </si>
  <si>
    <t>Inflict Rending (-1D)</t>
  </si>
  <si>
    <t>Inflict Rending (-2D)</t>
  </si>
  <si>
    <t>1D</t>
  </si>
  <si>
    <t>2D</t>
  </si>
  <si>
    <t>6D</t>
  </si>
  <si>
    <t>5D</t>
  </si>
  <si>
    <t>4D</t>
  </si>
  <si>
    <t>3D</t>
  </si>
  <si>
    <t>Resistant to Magic</t>
  </si>
  <si>
    <t>Bearskin Cloak (Leather)</t>
  </si>
  <si>
    <r>
      <t>Bearskin Cloak (Leather)</t>
    </r>
    <r>
      <rPr>
        <sz val="12"/>
        <color theme="1"/>
        <rFont val="Garamond"/>
        <family val="1"/>
      </rPr>
      <t/>
    </r>
  </si>
  <si>
    <t>Lavish Rune</t>
  </si>
  <si>
    <t>The Slashing Spell</t>
  </si>
  <si>
    <t>The Lissome Spell</t>
  </si>
  <si>
    <t>Secondary Race (Class):</t>
  </si>
  <si>
    <t>Alternate #1:</t>
  </si>
  <si>
    <t>Alternate #2:</t>
  </si>
  <si>
    <t>Alternate #3:</t>
  </si>
  <si>
    <t>Shield:</t>
  </si>
  <si>
    <t>Tanto Knife (Metal)</t>
  </si>
  <si>
    <t>Kampilan (Metal)</t>
  </si>
  <si>
    <t>Chain Whip (Metal)</t>
  </si>
  <si>
    <t>Dagger Halberd (Metal)</t>
  </si>
  <si>
    <t>Pata (Metal)</t>
  </si>
  <si>
    <t>Masundi (Wood)</t>
  </si>
  <si>
    <t>Tessin (Metal)</t>
  </si>
  <si>
    <t>Katar (Metal)</t>
  </si>
  <si>
    <t>Jian (Metal)</t>
  </si>
  <si>
    <t>Sai Knife (Metal)</t>
  </si>
  <si>
    <t>Wakizashi (Metal)</t>
  </si>
  <si>
    <t>Kama (Metal)</t>
  </si>
  <si>
    <t>Emeici (Metal)</t>
  </si>
  <si>
    <t>Naginata (Metal)</t>
  </si>
  <si>
    <t>Branched Spear (Metal)</t>
  </si>
  <si>
    <t>Khanda (Metal)</t>
  </si>
  <si>
    <t>Kanabo (Metal)</t>
  </si>
  <si>
    <t>Tabar (Metal)</t>
  </si>
  <si>
    <t>Katana (Metal)</t>
  </si>
  <si>
    <t>Nodachi Blade (Metal)</t>
  </si>
  <si>
    <t>Scoundrel's Knife (Metal)</t>
  </si>
  <si>
    <t>Bladed Staff (Metal)</t>
  </si>
  <si>
    <t>Hand Claws (Metal)</t>
  </si>
  <si>
    <t>Throwing Stars (Metal)</t>
  </si>
  <si>
    <t>Hairpin Dagger (Wood)</t>
  </si>
  <si>
    <t>Hairpin Dagger (Metal)</t>
  </si>
  <si>
    <t>Cloakpin Dagger (Wood)</t>
  </si>
  <si>
    <t>Cloakpin Dagger (Metal)</t>
  </si>
  <si>
    <t>Tomara (Wood)</t>
  </si>
  <si>
    <t>Dragon Beard Hook (Metal)</t>
  </si>
  <si>
    <t>Rope Dart (Metal)</t>
  </si>
  <si>
    <t>Push Dagger (Metal)</t>
  </si>
  <si>
    <t>Chakram (Metal)</t>
  </si>
  <si>
    <t>Yumi (Wood)</t>
  </si>
  <si>
    <t>Alopen Dagger (Metal)</t>
  </si>
  <si>
    <t>Overlord Bow (Wood)</t>
  </si>
  <si>
    <r>
      <t>Hand Claws (Metal)</t>
    </r>
    <r>
      <rPr>
        <sz val="12"/>
        <rFont val="Garamond"/>
        <family val="1"/>
      </rPr>
      <t xml:space="preserve"> - 2 Hands</t>
    </r>
  </si>
  <si>
    <t>Musician's Horn (Wood)</t>
  </si>
  <si>
    <t>Musician's Horn (Metal)</t>
  </si>
  <si>
    <t>Musician's Horn (Horn)</t>
  </si>
  <si>
    <t>Bagpipe (Wood)</t>
  </si>
  <si>
    <t>Fine Lute (Wood)</t>
  </si>
  <si>
    <t>Fine Flute (Wood)</t>
  </si>
  <si>
    <t>Centaur Bagpipe (Wood)</t>
  </si>
  <si>
    <t>Fine Flute (Metal)</t>
  </si>
  <si>
    <t>Fine Flute (Bone)</t>
  </si>
  <si>
    <t>Fine Harp (Wood)</t>
  </si>
  <si>
    <t>Fine Harp (Metal)</t>
  </si>
  <si>
    <t>Fine Musician's Horn (Wood)</t>
  </si>
  <si>
    <t>Fine Musician's Horn (Metal)</t>
  </si>
  <si>
    <t>Fine Musician's Horn (Horn)</t>
  </si>
  <si>
    <t>Fine Drum (Wood)</t>
  </si>
  <si>
    <t>Fine Piano (Wood)</t>
  </si>
  <si>
    <t>Fine Bagpipe (Wood)</t>
  </si>
  <si>
    <t>Top Knot (Leather)</t>
  </si>
  <si>
    <t>Headband (Cloth)</t>
  </si>
  <si>
    <t>Ronin Helm (Metal)</t>
  </si>
  <si>
    <t>Dawnwraith's Circlet of Winsomeness (Ethereal)</t>
  </si>
  <si>
    <t>Mirror Armor (Metal)</t>
  </si>
  <si>
    <t>Paper Brigantine (Wood)</t>
  </si>
  <si>
    <t>Assassin's Gown (Cloth)</t>
  </si>
  <si>
    <t>Thief's Gloves (Cloth)</t>
  </si>
  <si>
    <t>Kimono (Cloth)</t>
  </si>
  <si>
    <t>Assassin's Dress (Cloth)</t>
  </si>
  <si>
    <t>Spectral Raiment (Ethereal)</t>
  </si>
  <si>
    <t>Dagger Bracers (Cloth)</t>
  </si>
  <si>
    <t>Lamellar Brigantine (Metal)</t>
  </si>
  <si>
    <t>Monk's Flowing Robes (Cloth)</t>
  </si>
  <si>
    <t>Lamellar Armor (Metal)</t>
  </si>
  <si>
    <t>Assassin's Leg Straps (Leather)</t>
  </si>
  <si>
    <t>Monk Leggings (Cloth)</t>
  </si>
  <si>
    <t>Assassin's Trousers (Cloth)</t>
  </si>
  <si>
    <t>Lamellar Skirt (Metal)</t>
  </si>
  <si>
    <t>Alopen Sneak Trousers (Cloth)</t>
  </si>
  <si>
    <t>Monk's Cloak (Cloth)</t>
  </si>
  <si>
    <t>Thief's Cloak (Cloth)</t>
  </si>
  <si>
    <t>Flamecloak (Cloth)</t>
  </si>
  <si>
    <t>Traveler's Sandles (Leather)</t>
  </si>
  <si>
    <t>Monk's Foot Wraps (Cloth)</t>
  </si>
  <si>
    <t>Assassin's Boots (Leather)</t>
  </si>
  <si>
    <t>Thief's Sandles (Cloth)</t>
  </si>
  <si>
    <t>Silk Shoes (Cloth)</t>
  </si>
  <si>
    <t>Fan (Cloth)</t>
  </si>
  <si>
    <t>Lockpick (Metal)</t>
  </si>
  <si>
    <t>Song</t>
  </si>
  <si>
    <t>Songs</t>
  </si>
  <si>
    <t>Ballad of Hrothmir the Kind</t>
  </si>
  <si>
    <t>Ballad of William of Petersburg</t>
  </si>
  <si>
    <t>Ballad of Hermyra of Emellyria</t>
  </si>
  <si>
    <t>Ronde of the Summer Sun</t>
  </si>
  <si>
    <t>Ronde of the Yeoman's Wife</t>
  </si>
  <si>
    <t>Ode of the Jolly Red Wagon</t>
  </si>
  <si>
    <t>Ode to Murphy</t>
  </si>
  <si>
    <t>Ode to the Moon-Touched Bay</t>
  </si>
  <si>
    <t>Hymn of the Morning</t>
  </si>
  <si>
    <t>Hymn of the Craftsman</t>
  </si>
  <si>
    <t>Hymn of Harlaf the Conqueror</t>
  </si>
  <si>
    <t>Ballad of Kirafel the Cunning</t>
  </si>
  <si>
    <t>Ballad of Arthur the Strong</t>
  </si>
  <si>
    <t>Ballad of Cedric the Brave</t>
  </si>
  <si>
    <t>Ronde of the Steady Ring</t>
  </si>
  <si>
    <t>Ronde of Autumn's Golden Rain</t>
  </si>
  <si>
    <t>Ronde of Autumn's Golden Rain - T2</t>
  </si>
  <si>
    <t>Ronde of Simple Simon</t>
  </si>
  <si>
    <t>Ode of the River Romp</t>
  </si>
  <si>
    <t>Ode of the Marlfox</t>
  </si>
  <si>
    <t>Ode of the Morning Dew</t>
  </si>
  <si>
    <t>Hymn of the Evening</t>
  </si>
  <si>
    <t>Hymn of the Tactician</t>
  </si>
  <si>
    <t>Hymn of Rome Norris</t>
  </si>
  <si>
    <t>Ballad of Malgdon the Mighty</t>
  </si>
  <si>
    <t>Ballad of Malcolm Strongbow</t>
  </si>
  <si>
    <t>Ballad of Istra the Swift</t>
  </si>
  <si>
    <t>Ronde of the Hawk's Descent</t>
  </si>
  <si>
    <t>Ronde of the Fell Swoop</t>
  </si>
  <si>
    <t>Ronde of Thoder the Digeridooer</t>
  </si>
  <si>
    <t>Ode of the Golden Halls</t>
  </si>
  <si>
    <t>Ode to Nuffles</t>
  </si>
  <si>
    <t>Ode of the Mid-Day Breeze</t>
  </si>
  <si>
    <t>Hymn of the Nightly Vigil</t>
  </si>
  <si>
    <t>Hymn of the Magus</t>
  </si>
  <si>
    <t>Hymn to Draco</t>
  </si>
  <si>
    <t>Burning Gaze</t>
  </si>
  <si>
    <t>Burnination</t>
  </si>
  <si>
    <t>Bell Flower Poison</t>
  </si>
  <si>
    <t>Blister Plant Poison</t>
  </si>
  <si>
    <t>Candelabra Cactus Poison</t>
  </si>
  <si>
    <t>Cone Snail Venom</t>
  </si>
  <si>
    <t>Daffodil Poison</t>
  </si>
  <si>
    <t>Foxglove Poison</t>
  </si>
  <si>
    <t>Mistletoe Poison</t>
  </si>
  <si>
    <t>Poison Ivy Extract</t>
  </si>
  <si>
    <t>Poison Sumac Extract</t>
  </si>
  <si>
    <t>Rue Poison</t>
  </si>
  <si>
    <t>Sea Anemone Venom</t>
  </si>
  <si>
    <t>Scorpion Venom</t>
  </si>
  <si>
    <t>Wasp Venom</t>
  </si>
  <si>
    <t>Water Arum Poison</t>
  </si>
  <si>
    <t>Aconite Poison</t>
  </si>
  <si>
    <t>Anthurium Poison</t>
  </si>
  <si>
    <t>Black Bromeliad Poison</t>
  </si>
  <si>
    <t>Bleeding Heart Poison</t>
  </si>
  <si>
    <t>Buttonbush Poison</t>
  </si>
  <si>
    <t>Cassava Root Poison</t>
  </si>
  <si>
    <t>Century Plant Poison</t>
  </si>
  <si>
    <t>Cocklebur Poison</t>
  </si>
  <si>
    <t>Henbane Poison</t>
  </si>
  <si>
    <t>Lionfish Venom</t>
  </si>
  <si>
    <t>Nutmeg Poison</t>
  </si>
  <si>
    <t>Poison Dart Frog Poison</t>
  </si>
  <si>
    <t>Redoul Poison</t>
  </si>
  <si>
    <t>Stingray Venom</t>
  </si>
  <si>
    <t>Thimbleweed Poison</t>
  </si>
  <si>
    <t>Urchin Venom</t>
  </si>
  <si>
    <t>Virgin's Bower Poison</t>
  </si>
  <si>
    <t>Water Hemlock Poison</t>
  </si>
  <si>
    <t>Blue-Ringed Octopus Venom</t>
  </si>
  <si>
    <t>Crab's Eye Poison</t>
  </si>
  <si>
    <t>Curare Poison</t>
  </si>
  <si>
    <t>Dwarf Laurel Poison</t>
  </si>
  <si>
    <t>Hyacinth Poison</t>
  </si>
  <si>
    <t>Larkspur Poison</t>
  </si>
  <si>
    <t>Mandrake Poison</t>
  </si>
  <si>
    <t>Mountain Laurel Poison</t>
  </si>
  <si>
    <t>Oleander Poison</t>
  </si>
  <si>
    <t>Poison Arrow Frog Poison</t>
  </si>
  <si>
    <t>Pufferfish Venom</t>
  </si>
  <si>
    <t>Spindle Poison</t>
  </si>
  <si>
    <t>Sser Berry Poison</t>
  </si>
  <si>
    <t>Sweetgale Poison</t>
  </si>
  <si>
    <t>Tumbleweed Poison</t>
  </si>
  <si>
    <t>Bell Flower Salve</t>
  </si>
  <si>
    <t>Blister Plant Salve</t>
  </si>
  <si>
    <t>Candelabra Cactus Salve</t>
  </si>
  <si>
    <t>Daffodil Salve</t>
  </si>
  <si>
    <t>Foxglove Salve</t>
  </si>
  <si>
    <t>Mistletoe Salve</t>
  </si>
  <si>
    <t>Rue Salve</t>
  </si>
  <si>
    <t>Water Arum Salve</t>
  </si>
  <si>
    <t>Anthurium Salve</t>
  </si>
  <si>
    <t>Black Bromeliad Salve</t>
  </si>
  <si>
    <t>Bleeding Heart Salve</t>
  </si>
  <si>
    <t>Buttonbush Salve</t>
  </si>
  <si>
    <t>Cassava Root Salve</t>
  </si>
  <si>
    <t>Century Plant Salve</t>
  </si>
  <si>
    <t>Cocklebur Salve</t>
  </si>
  <si>
    <t>Henbane Salve</t>
  </si>
  <si>
    <t>Nutmeg Salve</t>
  </si>
  <si>
    <t>Redoul Salve</t>
  </si>
  <si>
    <t>Thimbleweed Salve</t>
  </si>
  <si>
    <t>Virgin's Bower Salve</t>
  </si>
  <si>
    <t>Water Hemlock Salve</t>
  </si>
  <si>
    <t>Crab's Eye Salve</t>
  </si>
  <si>
    <t>Curare Salve</t>
  </si>
  <si>
    <t>Dwarf Laurel Salve</t>
  </si>
  <si>
    <t>Hyacinth Salve</t>
  </si>
  <si>
    <t>Larkspur Salve</t>
  </si>
  <si>
    <t>Mandrake Salve</t>
  </si>
  <si>
    <t>Mountain Laurel Salve</t>
  </si>
  <si>
    <t>Oleander Salve</t>
  </si>
  <si>
    <t>Spindle Salve</t>
  </si>
  <si>
    <t>Sser Berry Salve</t>
  </si>
  <si>
    <t>Sweetgale Salve</t>
  </si>
  <si>
    <t>Tumbleweed Salve</t>
  </si>
  <si>
    <t>Cone Snail Salve</t>
  </si>
  <si>
    <t>Sea Anemone Salve</t>
  </si>
  <si>
    <t>Scorpion Salve</t>
  </si>
  <si>
    <t>Spider Salve</t>
  </si>
  <si>
    <t>Wasp Salve</t>
  </si>
  <si>
    <t>Lionfish Salve</t>
  </si>
  <si>
    <t>Stingray Salve</t>
  </si>
  <si>
    <t>Blue-Ringed Octopus Salve</t>
  </si>
  <si>
    <t>Pufferfish Salve</t>
  </si>
  <si>
    <t>Cambylictus Leaf Salve</t>
  </si>
  <si>
    <t>Poison Ivy Salve</t>
  </si>
  <si>
    <t>Poison Sumac Salve</t>
  </si>
  <si>
    <t>Purple Clover Salve</t>
  </si>
  <si>
    <t>Red Clover Salve</t>
  </si>
  <si>
    <t>Asphodel Salve</t>
  </si>
  <si>
    <t>Dwarf Iris Salve</t>
  </si>
  <si>
    <t>Ginseng Salve</t>
  </si>
  <si>
    <t>Lavender Salve</t>
  </si>
  <si>
    <t>Poison Dart Frog Salve</t>
  </si>
  <si>
    <t>Urchin Venom Salve</t>
  </si>
  <si>
    <t>Viper Venom Salve</t>
  </si>
  <si>
    <t>Zurn Lily Salve</t>
  </si>
  <si>
    <t>Acantha Salve</t>
  </si>
  <si>
    <t>Basilisk Venom Salve</t>
  </si>
  <si>
    <t>Poison Arrow Frog Salve</t>
  </si>
  <si>
    <t>Worble Venom Salve</t>
  </si>
  <si>
    <t>Shield Pairing</t>
  </si>
  <si>
    <t>Shield Throw</t>
  </si>
  <si>
    <t>Combined Dispel</t>
  </si>
  <si>
    <t>Fend</t>
  </si>
  <si>
    <t>Shield Jump</t>
  </si>
  <si>
    <t>Siphoning Dispel</t>
  </si>
  <si>
    <t>Slicing Parry</t>
  </si>
  <si>
    <t>Flying Shield Wall</t>
  </si>
  <si>
    <t>Aerial Fanning Spin</t>
  </si>
  <si>
    <t>Cascading Dispel</t>
  </si>
  <si>
    <t>Poisons &amp; Salves:</t>
  </si>
  <si>
    <t>Songs:</t>
  </si>
  <si>
    <t>Song:</t>
  </si>
  <si>
    <t>Pet</t>
  </si>
  <si>
    <t>Poison/Salve</t>
  </si>
  <si>
    <t>Weapon Alloy</t>
  </si>
  <si>
    <t>Armor Alloy</t>
  </si>
  <si>
    <t>Miscellaneous Bonuses:</t>
  </si>
  <si>
    <t>Gear Alloy</t>
  </si>
  <si>
    <t>Adjectives/Descriptions</t>
  </si>
  <si>
    <t>Pet Bonuses</t>
  </si>
  <si>
    <t>Alignment</t>
  </si>
  <si>
    <t>9D</t>
  </si>
  <si>
    <t>8D</t>
  </si>
  <si>
    <t>7D</t>
  </si>
  <si>
    <t>COMPOSITE</t>
  </si>
  <si>
    <t>Range</t>
  </si>
  <si>
    <t>Incremental</t>
  </si>
  <si>
    <t>HumanReadable_STR</t>
  </si>
  <si>
    <t>HumanReadable_FIN</t>
  </si>
  <si>
    <t>HumanReadable_CRM</t>
  </si>
  <si>
    <t>HumanReadable_LOR</t>
  </si>
  <si>
    <t>BASE</t>
  </si>
  <si>
    <t>MAX</t>
  </si>
  <si>
    <t>D count</t>
  </si>
  <si>
    <t>+1D</t>
  </si>
  <si>
    <t>+2D</t>
  </si>
  <si>
    <t>+7D</t>
  </si>
  <si>
    <t>+6D</t>
  </si>
  <si>
    <t>+5D</t>
  </si>
  <si>
    <t>+4D</t>
  </si>
  <si>
    <t>+3D</t>
  </si>
  <si>
    <t>---Gear---</t>
  </si>
  <si>
    <t>Stat Line:</t>
  </si>
  <si>
    <t>Enhancements</t>
  </si>
  <si>
    <t>Character Overview</t>
  </si>
  <si>
    <t>Initial Stat Line</t>
  </si>
  <si>
    <t>Body Zone:</t>
  </si>
  <si>
    <t>Extra AP:</t>
  </si>
  <si>
    <t>Alloys1</t>
  </si>
  <si>
    <t>Race Description</t>
  </si>
  <si>
    <t>Burly</t>
  </si>
  <si>
    <t>Cold Chill</t>
  </si>
  <si>
    <t>Juggernaught</t>
  </si>
  <si>
    <t>Official Zurn Character Creation Builder</t>
  </si>
  <si>
    <t>Race Bonus Name</t>
  </si>
  <si>
    <t>Deftness of Hand</t>
  </si>
  <si>
    <t>Firstborn of Order</t>
  </si>
  <si>
    <t>Swift and Strong</t>
  </si>
  <si>
    <t>Magic Warding</t>
  </si>
  <si>
    <t>Craftsman</t>
  </si>
  <si>
    <t>Surge of Rage</t>
  </si>
  <si>
    <t>Firstborn of Fury</t>
  </si>
  <si>
    <t>Mischievous</t>
  </si>
  <si>
    <t>Guardians of the Hidden Lore</t>
  </si>
  <si>
    <t>Whimsical Creatures</t>
  </si>
  <si>
    <t>Roamers</t>
  </si>
  <si>
    <t>Ethereal</t>
  </si>
  <si>
    <t>Transformation</t>
  </si>
  <si>
    <t>Type Name Here</t>
  </si>
  <si>
    <t>Add Hometown Name Here</t>
  </si>
  <si>
    <t>Insert Your Pet's Name Here</t>
  </si>
  <si>
    <r>
      <rPr>
        <b/>
        <u/>
        <sz val="11"/>
        <color theme="1"/>
        <rFont val="Garamond"/>
        <family val="1"/>
      </rPr>
      <t>Instructions:</t>
    </r>
    <r>
      <rPr>
        <sz val="11"/>
        <color theme="1"/>
        <rFont val="Garamond"/>
        <family val="1"/>
      </rPr>
      <t xml:space="preserve"> 
1) To create a character for your upcoming Zurn campaign, start at the top left in the Character Overview section. Select the "Strong", "Average", or "Weak" option for the three categories (Stat Line, Equipment, or Enhancements). This will set how many points you can spend on each category. 
2) Follow along from left to right, starting with Stat Line, then move to Equipment, and end with Enhancements. 
3) Keep in mind that if you want to purchase a pet or animal, this is located in the "Pet_Builder" tab and requires Equipment points to purchase and Enhancement points to upgrade.
4) We recommend creating a character with your Zurn sourcebooks(s) on-hand. Please direct any questions to www.zurncentral.com/contact.</t>
    </r>
  </si>
</sst>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b/>
      <sz val="12"/>
      <color theme="1"/>
      <name val="Garamond"/>
      <family val="1"/>
    </font>
    <font>
      <sz val="12"/>
      <color theme="1"/>
      <name val="Garamond"/>
      <family val="1"/>
    </font>
    <font>
      <u/>
      <sz val="12"/>
      <color theme="1"/>
      <name val="Garamond"/>
      <family val="1"/>
    </font>
    <font>
      <sz val="11"/>
      <color rgb="FFFF0000"/>
      <name val="Calibri"/>
      <family val="2"/>
      <scheme val="minor"/>
    </font>
    <font>
      <b/>
      <sz val="11"/>
      <color theme="1"/>
      <name val="Calibri"/>
      <family val="2"/>
      <scheme val="minor"/>
    </font>
    <font>
      <b/>
      <sz val="11"/>
      <color theme="0" tint="-0.34998626667073579"/>
      <name val="Calibri"/>
      <family val="2"/>
      <scheme val="minor"/>
    </font>
    <font>
      <b/>
      <sz val="10"/>
      <color theme="1"/>
      <name val="Calibri"/>
      <family val="2"/>
      <scheme val="minor"/>
    </font>
    <font>
      <b/>
      <sz val="12"/>
      <name val="Garamond"/>
      <family val="1"/>
    </font>
    <font>
      <b/>
      <sz val="12"/>
      <color theme="0"/>
      <name val="Garamond"/>
      <family val="1"/>
    </font>
    <font>
      <b/>
      <sz val="11"/>
      <name val="Calibri"/>
      <family val="2"/>
      <scheme val="minor"/>
    </font>
    <font>
      <sz val="11"/>
      <name val="Calibri"/>
      <family val="2"/>
      <scheme val="minor"/>
    </font>
    <font>
      <sz val="9"/>
      <color indexed="81"/>
      <name val="Tahoma"/>
      <family val="2"/>
    </font>
    <font>
      <b/>
      <sz val="9"/>
      <color indexed="81"/>
      <name val="Tahoma"/>
      <family val="2"/>
    </font>
    <font>
      <sz val="12"/>
      <color rgb="FFFF0000"/>
      <name val="Garamond"/>
      <family val="1"/>
    </font>
    <font>
      <sz val="12"/>
      <name val="Garamond"/>
      <family val="1"/>
    </font>
    <font>
      <sz val="11"/>
      <color theme="0" tint="-0.34998626667073579"/>
      <name val="Calibri"/>
      <family val="2"/>
      <scheme val="minor"/>
    </font>
    <font>
      <b/>
      <u/>
      <sz val="12"/>
      <color theme="1"/>
      <name val="Garamond"/>
      <family val="1"/>
    </font>
    <font>
      <sz val="11"/>
      <color theme="0" tint="-0.249977111117893"/>
      <name val="Calibri"/>
      <family val="2"/>
      <scheme val="minor"/>
    </font>
    <font>
      <sz val="12"/>
      <color theme="0"/>
      <name val="Garamond"/>
      <family val="1"/>
    </font>
    <font>
      <b/>
      <sz val="12"/>
      <color theme="1"/>
      <name val="Calibri"/>
      <family val="2"/>
      <scheme val="minor"/>
    </font>
    <font>
      <u/>
      <sz val="11"/>
      <color theme="1"/>
      <name val="Calibri"/>
      <family val="2"/>
      <scheme val="minor"/>
    </font>
    <font>
      <sz val="11"/>
      <color theme="1"/>
      <name val="Garamond"/>
      <family val="1"/>
    </font>
    <font>
      <sz val="20"/>
      <color theme="1"/>
      <name val="Garamond"/>
      <family val="1"/>
    </font>
    <font>
      <b/>
      <sz val="11"/>
      <color theme="1"/>
      <name val="Garamond"/>
      <family val="1"/>
    </font>
    <font>
      <b/>
      <u/>
      <sz val="11"/>
      <color theme="1"/>
      <name val="Garamond"/>
      <family val="1"/>
    </font>
    <font>
      <b/>
      <sz val="10"/>
      <color theme="1"/>
      <name val="Garamond"/>
      <family val="1"/>
    </font>
    <font>
      <b/>
      <sz val="10"/>
      <name val="Garamond"/>
      <family val="1"/>
    </font>
    <font>
      <sz val="11"/>
      <name val="Garamond"/>
      <family val="1"/>
    </font>
    <font>
      <sz val="11"/>
      <color rgb="FFFF0000"/>
      <name val="Garamond"/>
      <family val="1"/>
    </font>
    <font>
      <b/>
      <sz val="11"/>
      <name val="Garamond"/>
      <family val="1"/>
    </font>
  </fonts>
  <fills count="2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
      <patternFill patternType="solid">
        <fgColor rgb="FF7030A0"/>
        <bgColor indexed="64"/>
      </patternFill>
    </fill>
    <fill>
      <patternFill patternType="solid">
        <fgColor rgb="FF00B0F0"/>
        <bgColor indexed="64"/>
      </patternFill>
    </fill>
    <fill>
      <patternFill patternType="solid">
        <fgColor theme="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C00000"/>
        <bgColor indexed="64"/>
      </patternFill>
    </fill>
    <fill>
      <patternFill patternType="solid">
        <fgColor theme="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2" tint="-0.249977111117893"/>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247">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2" fillId="2" borderId="0" xfId="0" applyFont="1" applyFill="1" applyAlignment="1">
      <alignment horizontal="center" vertical="center"/>
    </xf>
    <xf numFmtId="0" fontId="1" fillId="0" borderId="0" xfId="0" applyFont="1" applyAlignment="1">
      <alignment horizontal="center" vertical="center" wrapText="1"/>
    </xf>
    <xf numFmtId="0" fontId="5" fillId="0" borderId="0" xfId="0" applyFont="1"/>
    <xf numFmtId="0" fontId="0" fillId="3" borderId="2" xfId="0" applyFill="1" applyBorder="1"/>
    <xf numFmtId="0" fontId="0" fillId="2" borderId="0" xfId="0" applyFill="1"/>
    <xf numFmtId="0" fontId="0" fillId="4" borderId="2" xfId="0" applyFill="1" applyBorder="1"/>
    <xf numFmtId="0" fontId="0" fillId="5" borderId="2" xfId="0" applyFill="1" applyBorder="1" applyAlignment="1">
      <alignment horizontal="center"/>
    </xf>
    <xf numFmtId="0" fontId="1" fillId="0" borderId="15" xfId="0" applyFont="1" applyBorder="1" applyAlignment="1">
      <alignment vertical="center"/>
    </xf>
    <xf numFmtId="0" fontId="1" fillId="0" borderId="5" xfId="0" applyFont="1" applyBorder="1" applyAlignment="1">
      <alignment vertical="center"/>
    </xf>
    <xf numFmtId="0" fontId="0" fillId="0" borderId="8" xfId="0" applyBorder="1"/>
    <xf numFmtId="0" fontId="0" fillId="0" borderId="11" xfId="0" applyBorder="1"/>
    <xf numFmtId="0" fontId="2" fillId="0" borderId="16" xfId="0" applyFont="1" applyBorder="1" applyAlignment="1">
      <alignment vertical="center"/>
    </xf>
    <xf numFmtId="0" fontId="2" fillId="0" borderId="17" xfId="0" applyFont="1" applyBorder="1" applyAlignment="1">
      <alignment vertical="center"/>
    </xf>
    <xf numFmtId="0" fontId="0" fillId="6" borderId="6" xfId="0" applyFill="1" applyBorder="1"/>
    <xf numFmtId="0" fontId="0" fillId="6" borderId="9" xfId="0" applyFill="1" applyBorder="1"/>
    <xf numFmtId="0" fontId="0" fillId="4" borderId="2" xfId="0" applyFill="1" applyBorder="1" applyAlignment="1">
      <alignment horizontal="center"/>
    </xf>
    <xf numFmtId="0" fontId="0" fillId="4" borderId="10" xfId="0" applyFill="1" applyBorder="1" applyAlignment="1">
      <alignment horizontal="center"/>
    </xf>
    <xf numFmtId="0" fontId="0" fillId="5" borderId="19" xfId="0" applyFill="1" applyBorder="1" applyAlignment="1">
      <alignment horizontal="center"/>
    </xf>
    <xf numFmtId="0" fontId="0" fillId="3" borderId="10" xfId="0" applyFill="1" applyBorder="1"/>
    <xf numFmtId="0" fontId="2" fillId="2" borderId="0" xfId="0" applyFont="1" applyFill="1" applyAlignment="1">
      <alignment vertical="center"/>
    </xf>
    <xf numFmtId="0" fontId="5" fillId="12" borderId="0" xfId="0" applyFont="1" applyFill="1"/>
    <xf numFmtId="0" fontId="0" fillId="0" borderId="2" xfId="0" applyBorder="1"/>
    <xf numFmtId="0" fontId="4" fillId="2" borderId="0" xfId="0" quotePrefix="1" applyFont="1" applyFill="1"/>
    <xf numFmtId="0" fontId="1" fillId="13" borderId="0" xfId="0" applyFont="1" applyFill="1" applyAlignment="1">
      <alignment horizontal="center" vertical="center" wrapText="1"/>
    </xf>
    <xf numFmtId="0" fontId="1" fillId="15" borderId="0" xfId="0" applyFont="1" applyFill="1" applyAlignment="1">
      <alignment horizontal="center" vertical="center" wrapText="1"/>
    </xf>
    <xf numFmtId="0" fontId="9" fillId="16" borderId="0" xfId="0" applyFont="1" applyFill="1" applyAlignment="1">
      <alignment horizontal="center" vertical="center" wrapText="1"/>
    </xf>
    <xf numFmtId="0" fontId="9" fillId="17" borderId="0" xfId="0" applyFont="1" applyFill="1" applyAlignment="1">
      <alignment horizontal="center" vertical="center" wrapText="1"/>
    </xf>
    <xf numFmtId="0" fontId="1" fillId="18" borderId="0" xfId="0" applyFont="1" applyFill="1" applyAlignment="1">
      <alignment horizontal="center" vertical="center" wrapText="1"/>
    </xf>
    <xf numFmtId="0" fontId="1" fillId="19" borderId="0" xfId="0" applyFont="1" applyFill="1" applyAlignment="1">
      <alignment horizontal="center" vertical="center" wrapText="1"/>
    </xf>
    <xf numFmtId="0" fontId="9" fillId="20" borderId="0" xfId="0" applyFont="1" applyFill="1" applyAlignment="1">
      <alignment horizontal="center" vertical="center" wrapText="1"/>
    </xf>
    <xf numFmtId="0" fontId="0" fillId="3" borderId="8" xfId="0" applyFill="1" applyBorder="1"/>
    <xf numFmtId="0" fontId="0" fillId="3" borderId="11" xfId="0" applyFill="1" applyBorder="1"/>
    <xf numFmtId="0" fontId="4" fillId="0" borderId="0" xfId="0" applyFont="1"/>
    <xf numFmtId="0" fontId="4" fillId="0" borderId="0" xfId="0" quotePrefix="1" applyFont="1"/>
    <xf numFmtId="0" fontId="1" fillId="0" borderId="0" xfId="0" applyFont="1"/>
    <xf numFmtId="0" fontId="0" fillId="0" borderId="0" xfId="0" quotePrefix="1"/>
    <xf numFmtId="0" fontId="8" fillId="0" borderId="0" xfId="0" applyFont="1" applyAlignment="1">
      <alignment vertical="center"/>
    </xf>
    <xf numFmtId="0" fontId="15" fillId="0" borderId="0" xfId="0" applyFont="1" applyAlignment="1">
      <alignment vertical="center"/>
    </xf>
    <xf numFmtId="0" fontId="11" fillId="0" borderId="0" xfId="0" applyFont="1"/>
    <xf numFmtId="0" fontId="11" fillId="0" borderId="0" xfId="0" quotePrefix="1" applyFont="1"/>
    <xf numFmtId="0" fontId="14" fillId="0" borderId="0" xfId="0" quotePrefix="1" applyFont="1" applyAlignment="1">
      <alignment vertical="center"/>
    </xf>
    <xf numFmtId="0" fontId="14" fillId="0" borderId="0" xfId="0" applyFont="1" applyAlignment="1">
      <alignment vertical="center"/>
    </xf>
    <xf numFmtId="0" fontId="2" fillId="0" borderId="0" xfId="0" applyFont="1" applyFill="1" applyAlignment="1">
      <alignment horizontal="center" vertical="center"/>
    </xf>
    <xf numFmtId="0" fontId="2" fillId="0" borderId="0" xfId="0" applyFont="1"/>
    <xf numFmtId="0" fontId="9" fillId="22" borderId="0" xfId="0" applyFont="1" applyFill="1" applyAlignment="1">
      <alignment horizontal="center" vertical="center" wrapText="1"/>
    </xf>
    <xf numFmtId="0" fontId="9" fillId="14" borderId="0" xfId="0" applyFont="1" applyFill="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8" fillId="23" borderId="0" xfId="0" applyFont="1" applyFill="1" applyAlignment="1">
      <alignment horizontal="center" vertical="center" wrapText="1"/>
    </xf>
    <xf numFmtId="0" fontId="10" fillId="6" borderId="6" xfId="0" quotePrefix="1" applyFont="1" applyFill="1" applyBorder="1" applyAlignment="1">
      <alignment horizontal="center"/>
    </xf>
    <xf numFmtId="0" fontId="10" fillId="6" borderId="0" xfId="0" quotePrefix="1" applyFont="1" applyFill="1" applyBorder="1" applyAlignment="1">
      <alignment horizontal="center"/>
    </xf>
    <xf numFmtId="0" fontId="10" fillId="6" borderId="7" xfId="0" quotePrefix="1" applyFont="1" applyFill="1" applyBorder="1" applyAlignment="1">
      <alignment horizontal="center"/>
    </xf>
    <xf numFmtId="0" fontId="0" fillId="0" borderId="25" xfId="0" applyBorder="1"/>
    <xf numFmtId="0" fontId="5" fillId="0" borderId="25" xfId="0" applyFont="1" applyBorder="1"/>
    <xf numFmtId="0" fontId="5" fillId="0" borderId="23" xfId="0" applyFont="1" applyBorder="1"/>
    <xf numFmtId="0" fontId="0" fillId="0" borderId="26" xfId="0" applyBorder="1"/>
    <xf numFmtId="0" fontId="6" fillId="0" borderId="26" xfId="0" applyFont="1" applyBorder="1"/>
    <xf numFmtId="0" fontId="6" fillId="0" borderId="0" xfId="0" applyFont="1"/>
    <xf numFmtId="0" fontId="0" fillId="4" borderId="10" xfId="0" applyFill="1" applyBorder="1"/>
    <xf numFmtId="0" fontId="17" fillId="0" borderId="2" xfId="0" applyFont="1" applyBorder="1" applyAlignment="1">
      <alignment horizontal="center" vertical="center"/>
    </xf>
    <xf numFmtId="0" fontId="2" fillId="0" borderId="2" xfId="0" applyFont="1" applyBorder="1" applyAlignment="1">
      <alignment vertical="center"/>
    </xf>
    <xf numFmtId="0" fontId="10" fillId="6" borderId="0" xfId="0" applyFont="1" applyFill="1" applyBorder="1" applyAlignment="1">
      <alignment horizontal="center"/>
    </xf>
    <xf numFmtId="0" fontId="11" fillId="2" borderId="0" xfId="0" applyFont="1" applyFill="1"/>
    <xf numFmtId="0" fontId="0" fillId="0" borderId="0" xfId="0" quotePrefix="1" applyAlignment="1">
      <alignment horizontal="center"/>
    </xf>
    <xf numFmtId="0" fontId="18" fillId="2" borderId="0" xfId="0" applyFont="1" applyFill="1"/>
    <xf numFmtId="0" fontId="16" fillId="2" borderId="0" xfId="0" applyFont="1" applyFill="1"/>
    <xf numFmtId="0" fontId="2" fillId="12" borderId="0" xfId="0" applyFont="1" applyFill="1" applyAlignment="1">
      <alignment vertical="center"/>
    </xf>
    <xf numFmtId="0" fontId="2" fillId="12" borderId="0" xfId="0" applyFont="1" applyFill="1" applyAlignment="1">
      <alignment horizontal="center" vertical="center"/>
    </xf>
    <xf numFmtId="0" fontId="0" fillId="12" borderId="0" xfId="0" applyFill="1"/>
    <xf numFmtId="0" fontId="11" fillId="12" borderId="0" xfId="0" applyFont="1" applyFill="1"/>
    <xf numFmtId="0" fontId="19" fillId="21" borderId="0" xfId="0" applyFont="1" applyFill="1" applyAlignment="1">
      <alignment vertical="center"/>
    </xf>
    <xf numFmtId="0" fontId="5" fillId="0" borderId="0" xfId="0" quotePrefix="1" applyFont="1"/>
    <xf numFmtId="0" fontId="2" fillId="0" borderId="0" xfId="0" quotePrefix="1" applyFont="1" applyAlignment="1">
      <alignment horizont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xf numFmtId="0" fontId="10" fillId="6" borderId="4" xfId="0" quotePrefix="1" applyFont="1" applyFill="1" applyBorder="1" applyAlignment="1">
      <alignment horizontal="center"/>
    </xf>
    <xf numFmtId="0" fontId="10" fillId="6" borderId="3" xfId="0" quotePrefix="1" applyFont="1" applyFill="1" applyBorder="1" applyAlignment="1">
      <alignment horizontal="center"/>
    </xf>
    <xf numFmtId="0" fontId="10" fillId="6" borderId="14" xfId="0" quotePrefix="1" applyFont="1" applyFill="1" applyBorder="1" applyAlignment="1">
      <alignment horizontal="center"/>
    </xf>
    <xf numFmtId="0" fontId="0" fillId="3" borderId="28" xfId="0" applyFill="1" applyBorder="1"/>
    <xf numFmtId="0" fontId="0" fillId="3" borderId="16" xfId="0" applyFill="1" applyBorder="1"/>
    <xf numFmtId="0" fontId="7" fillId="3" borderId="32" xfId="0" applyFont="1" applyFill="1" applyBorder="1" applyAlignment="1">
      <alignment horizontal="center"/>
    </xf>
    <xf numFmtId="0" fontId="0" fillId="0" borderId="0" xfId="0" applyAlignment="1"/>
    <xf numFmtId="0" fontId="0" fillId="3" borderId="17" xfId="0" applyFill="1" applyBorder="1"/>
    <xf numFmtId="0" fontId="0" fillId="10" borderId="19" xfId="0" applyFill="1" applyBorder="1" applyAlignment="1">
      <alignment horizontal="center"/>
    </xf>
    <xf numFmtId="0" fontId="18" fillId="5" borderId="30" xfId="0" applyFont="1" applyFill="1" applyBorder="1" applyAlignment="1">
      <alignment horizontal="center"/>
    </xf>
    <xf numFmtId="0" fontId="0" fillId="3" borderId="29" xfId="0" applyFill="1" applyBorder="1"/>
    <xf numFmtId="0" fontId="0" fillId="0" borderId="0" xfId="0" applyBorder="1"/>
    <xf numFmtId="0" fontId="0" fillId="0" borderId="10" xfId="0" applyBorder="1"/>
    <xf numFmtId="0" fontId="20" fillId="0" borderId="18" xfId="0" applyFont="1" applyBorder="1"/>
    <xf numFmtId="0" fontId="2" fillId="0" borderId="16" xfId="0" quotePrefix="1" applyFont="1" applyBorder="1" applyAlignment="1">
      <alignment vertical="center"/>
    </xf>
    <xf numFmtId="0" fontId="21" fillId="0" borderId="0" xfId="0" applyFont="1"/>
    <xf numFmtId="0" fontId="10" fillId="0" borderId="0" xfId="0" quotePrefix="1" applyFont="1"/>
    <xf numFmtId="0" fontId="11" fillId="5" borderId="0" xfId="0" applyFont="1" applyFill="1"/>
    <xf numFmtId="0" fontId="8" fillId="8" borderId="0" xfId="0" applyFont="1" applyFill="1" applyBorder="1" applyAlignment="1">
      <alignment vertical="center"/>
    </xf>
    <xf numFmtId="0" fontId="15" fillId="0" borderId="0" xfId="0" applyFont="1" applyFill="1" applyAlignment="1">
      <alignment horizontal="center" vertical="center"/>
    </xf>
    <xf numFmtId="0" fontId="8" fillId="0" borderId="0" xfId="0" applyFont="1" applyFill="1" applyBorder="1"/>
    <xf numFmtId="0" fontId="10" fillId="0" borderId="0" xfId="0" applyFont="1"/>
    <xf numFmtId="0" fontId="8" fillId="9" borderId="0" xfId="0" applyFont="1" applyFill="1" applyBorder="1"/>
    <xf numFmtId="0" fontId="5" fillId="0" borderId="0" xfId="0" applyFont="1" applyBorder="1"/>
    <xf numFmtId="0" fontId="5" fillId="0" borderId="26" xfId="0" applyFont="1" applyBorder="1"/>
    <xf numFmtId="0" fontId="22" fillId="2" borderId="0" xfId="0" applyFont="1" applyFill="1"/>
    <xf numFmtId="0" fontId="24" fillId="2" borderId="0" xfId="0" applyFont="1" applyFill="1"/>
    <xf numFmtId="0" fontId="22" fillId="6" borderId="3" xfId="0" applyFont="1" applyFill="1" applyBorder="1"/>
    <xf numFmtId="0" fontId="22" fillId="4" borderId="5" xfId="0" applyFont="1" applyFill="1" applyBorder="1"/>
    <xf numFmtId="0" fontId="26" fillId="8" borderId="16" xfId="0" applyFont="1" applyFill="1" applyBorder="1" applyAlignment="1">
      <alignment horizontal="left"/>
    </xf>
    <xf numFmtId="0" fontId="22" fillId="3" borderId="2" xfId="0" applyFont="1" applyFill="1" applyBorder="1" applyAlignment="1">
      <alignment horizontal="center"/>
    </xf>
    <xf numFmtId="0" fontId="27" fillId="8" borderId="2" xfId="0" applyFont="1" applyFill="1" applyBorder="1" applyAlignment="1">
      <alignment horizontal="left"/>
    </xf>
    <xf numFmtId="0" fontId="28" fillId="5" borderId="8" xfId="0" applyFont="1" applyFill="1" applyBorder="1"/>
    <xf numFmtId="0" fontId="22" fillId="6" borderId="6" xfId="0" applyFont="1" applyFill="1" applyBorder="1"/>
    <xf numFmtId="0" fontId="22" fillId="4" borderId="8" xfId="0" applyFont="1" applyFill="1" applyBorder="1"/>
    <xf numFmtId="0" fontId="26" fillId="25" borderId="16" xfId="0" applyFont="1" applyFill="1" applyBorder="1"/>
    <xf numFmtId="0" fontId="27" fillId="25" borderId="2" xfId="0" applyFont="1" applyFill="1" applyBorder="1" applyAlignment="1">
      <alignment horizontal="left"/>
    </xf>
    <xf numFmtId="0" fontId="22" fillId="3" borderId="8" xfId="0" applyFont="1" applyFill="1" applyBorder="1"/>
    <xf numFmtId="0" fontId="22" fillId="5" borderId="2" xfId="0" applyFont="1" applyFill="1" applyBorder="1" applyAlignment="1">
      <alignment horizontal="center"/>
    </xf>
    <xf numFmtId="0" fontId="26" fillId="26" borderId="17" xfId="0" applyFont="1" applyFill="1" applyBorder="1"/>
    <xf numFmtId="0" fontId="22" fillId="3" borderId="10" xfId="0" applyFont="1" applyFill="1" applyBorder="1" applyAlignment="1">
      <alignment horizontal="center"/>
    </xf>
    <xf numFmtId="0" fontId="27" fillId="26" borderId="10" xfId="0" applyFont="1" applyFill="1" applyBorder="1" applyAlignment="1">
      <alignment horizontal="left"/>
    </xf>
    <xf numFmtId="0" fontId="28" fillId="5" borderId="11" xfId="0" applyFont="1" applyFill="1" applyBorder="1"/>
    <xf numFmtId="0" fontId="22" fillId="6" borderId="9" xfId="0" applyFont="1" applyFill="1" applyBorder="1"/>
    <xf numFmtId="0" fontId="22" fillId="5" borderId="11" xfId="0" applyFont="1" applyFill="1" applyBorder="1" applyAlignment="1">
      <alignment horizontal="center"/>
    </xf>
    <xf numFmtId="0" fontId="26" fillId="6" borderId="17" xfId="0" applyFont="1" applyFill="1" applyBorder="1"/>
    <xf numFmtId="0" fontId="22" fillId="4" borderId="11" xfId="0" applyFont="1" applyFill="1" applyBorder="1"/>
    <xf numFmtId="0" fontId="22" fillId="8" borderId="34" xfId="0" applyFont="1" applyFill="1" applyBorder="1"/>
    <xf numFmtId="0" fontId="22" fillId="8" borderId="1" xfId="0" applyFont="1" applyFill="1" applyBorder="1" applyAlignment="1">
      <alignment horizontal="center"/>
    </xf>
    <xf numFmtId="0" fontId="22" fillId="8" borderId="24" xfId="0" applyFont="1" applyFill="1" applyBorder="1" applyAlignment="1">
      <alignment horizontal="center"/>
    </xf>
    <xf numFmtId="0" fontId="24" fillId="6" borderId="20" xfId="0" applyFont="1" applyFill="1" applyBorder="1"/>
    <xf numFmtId="0" fontId="30" fillId="6" borderId="21" xfId="0" quotePrefix="1" applyFont="1" applyFill="1" applyBorder="1" applyAlignment="1">
      <alignment horizontal="center"/>
    </xf>
    <xf numFmtId="0" fontId="30" fillId="6" borderId="22" xfId="0" quotePrefix="1" applyFont="1" applyFill="1" applyBorder="1" applyAlignment="1">
      <alignment horizontal="center"/>
    </xf>
    <xf numFmtId="0" fontId="22" fillId="11" borderId="4" xfId="0" applyFont="1" applyFill="1" applyBorder="1"/>
    <xf numFmtId="0" fontId="30" fillId="6" borderId="20" xfId="0" quotePrefix="1" applyFont="1" applyFill="1" applyBorder="1" applyAlignment="1">
      <alignment horizontal="center"/>
    </xf>
    <xf numFmtId="0" fontId="30" fillId="6" borderId="22" xfId="0" applyFont="1" applyFill="1" applyBorder="1" applyAlignment="1">
      <alignment horizontal="center"/>
    </xf>
    <xf numFmtId="0" fontId="22" fillId="2" borderId="6" xfId="0" applyFont="1" applyFill="1" applyBorder="1"/>
    <xf numFmtId="0" fontId="22" fillId="2" borderId="0" xfId="0" applyFont="1" applyFill="1" applyBorder="1"/>
    <xf numFmtId="0" fontId="22" fillId="2" borderId="7" xfId="0" applyFont="1" applyFill="1" applyBorder="1"/>
    <xf numFmtId="0" fontId="22" fillId="8" borderId="16" xfId="0" applyFont="1" applyFill="1" applyBorder="1"/>
    <xf numFmtId="0" fontId="22" fillId="8" borderId="2" xfId="0" applyFont="1" applyFill="1" applyBorder="1" applyAlignment="1">
      <alignment horizontal="center"/>
    </xf>
    <xf numFmtId="0" fontId="22" fillId="8" borderId="8" xfId="0" applyFont="1" applyFill="1" applyBorder="1" applyAlignment="1">
      <alignment horizontal="center"/>
    </xf>
    <xf numFmtId="0" fontId="22" fillId="25" borderId="6" xfId="0" applyFont="1" applyFill="1" applyBorder="1"/>
    <xf numFmtId="0" fontId="22" fillId="25" borderId="1" xfId="0" applyFont="1" applyFill="1" applyBorder="1"/>
    <xf numFmtId="0" fontId="22" fillId="25" borderId="24" xfId="0" applyFont="1" applyFill="1" applyBorder="1"/>
    <xf numFmtId="0" fontId="22" fillId="11" borderId="0" xfId="0" applyFont="1" applyFill="1" applyBorder="1"/>
    <xf numFmtId="0" fontId="22" fillId="25" borderId="15" xfId="0" applyFont="1" applyFill="1" applyBorder="1"/>
    <xf numFmtId="0" fontId="22" fillId="25" borderId="5" xfId="0" applyFont="1" applyFill="1" applyBorder="1"/>
    <xf numFmtId="0" fontId="30" fillId="6" borderId="27" xfId="0" quotePrefix="1" applyFont="1" applyFill="1" applyBorder="1" applyAlignment="1"/>
    <xf numFmtId="0" fontId="29" fillId="5" borderId="19" xfId="0" applyFont="1" applyFill="1" applyBorder="1" applyAlignment="1"/>
    <xf numFmtId="0" fontId="22" fillId="25" borderId="2" xfId="0" applyFont="1" applyFill="1" applyBorder="1"/>
    <xf numFmtId="0" fontId="22" fillId="25" borderId="8" xfId="0" applyFont="1" applyFill="1" applyBorder="1"/>
    <xf numFmtId="0" fontId="22" fillId="25" borderId="16" xfId="0" applyFont="1" applyFill="1" applyBorder="1"/>
    <xf numFmtId="0" fontId="24" fillId="26" borderId="3" xfId="0" applyFont="1" applyFill="1" applyBorder="1"/>
    <xf numFmtId="0" fontId="22" fillId="26" borderId="18" xfId="0" applyFont="1" applyFill="1" applyBorder="1"/>
    <xf numFmtId="0" fontId="22" fillId="26" borderId="5" xfId="0" applyFont="1" applyFill="1" applyBorder="1"/>
    <xf numFmtId="0" fontId="22" fillId="5" borderId="19" xfId="0" applyFont="1" applyFill="1" applyBorder="1" applyAlignment="1">
      <alignment horizontal="center"/>
    </xf>
    <xf numFmtId="0" fontId="22" fillId="26" borderId="8" xfId="0" applyFont="1" applyFill="1" applyBorder="1"/>
    <xf numFmtId="0" fontId="22" fillId="5" borderId="23" xfId="0" applyFont="1" applyFill="1" applyBorder="1" applyAlignment="1">
      <alignment horizontal="center"/>
    </xf>
    <xf numFmtId="0" fontId="24" fillId="26" borderId="16" xfId="0" applyFont="1" applyFill="1" applyBorder="1"/>
    <xf numFmtId="0" fontId="22" fillId="26" borderId="8" xfId="0" applyFont="1" applyFill="1" applyBorder="1" applyAlignment="1">
      <alignment horizontal="center"/>
    </xf>
    <xf numFmtId="0" fontId="22" fillId="8" borderId="17" xfId="0" applyFont="1" applyFill="1" applyBorder="1"/>
    <xf numFmtId="0" fontId="22" fillId="8" borderId="10" xfId="0" applyFont="1" applyFill="1" applyBorder="1" applyAlignment="1">
      <alignment horizontal="center"/>
    </xf>
    <xf numFmtId="0" fontId="22" fillId="8" borderId="11" xfId="0" applyFont="1" applyFill="1" applyBorder="1" applyAlignment="1">
      <alignment horizontal="center"/>
    </xf>
    <xf numFmtId="0" fontId="24" fillId="26" borderId="34" xfId="0" applyFont="1" applyFill="1" applyBorder="1"/>
    <xf numFmtId="0" fontId="22" fillId="26" borderId="1" xfId="0" applyFont="1" applyFill="1" applyBorder="1" applyAlignment="1">
      <alignment horizontal="center"/>
    </xf>
    <xf numFmtId="0" fontId="24" fillId="26" borderId="1" xfId="0" applyFont="1" applyFill="1" applyBorder="1"/>
    <xf numFmtId="0" fontId="22" fillId="26" borderId="24" xfId="0" applyFont="1" applyFill="1" applyBorder="1" applyAlignment="1">
      <alignment horizontal="center"/>
    </xf>
    <xf numFmtId="0" fontId="24" fillId="26" borderId="6" xfId="0" applyFont="1" applyFill="1" applyBorder="1"/>
    <xf numFmtId="0" fontId="22" fillId="26" borderId="2" xfId="0" applyFont="1" applyFill="1" applyBorder="1"/>
    <xf numFmtId="0" fontId="24" fillId="26" borderId="17" xfId="0" applyFont="1" applyFill="1" applyBorder="1"/>
    <xf numFmtId="0" fontId="22" fillId="26" borderId="11" xfId="0" applyFont="1" applyFill="1" applyBorder="1" applyAlignment="1">
      <alignment horizontal="center"/>
    </xf>
    <xf numFmtId="0" fontId="22" fillId="26" borderId="2" xfId="0" applyFont="1" applyFill="1" applyBorder="1" applyAlignment="1">
      <alignment horizontal="center"/>
    </xf>
    <xf numFmtId="0" fontId="24" fillId="26" borderId="2" xfId="0" applyFont="1" applyFill="1" applyBorder="1"/>
    <xf numFmtId="0" fontId="22" fillId="25" borderId="9" xfId="0" applyFont="1" applyFill="1" applyBorder="1"/>
    <xf numFmtId="0" fontId="22" fillId="25" borderId="10" xfId="0" applyFont="1" applyFill="1" applyBorder="1"/>
    <xf numFmtId="0" fontId="22" fillId="25" borderId="11" xfId="0" applyFont="1" applyFill="1" applyBorder="1"/>
    <xf numFmtId="0" fontId="22" fillId="11" borderId="3" xfId="0" applyFont="1" applyFill="1" applyBorder="1"/>
    <xf numFmtId="0" fontId="22" fillId="11" borderId="6" xfId="0" applyFont="1" applyFill="1" applyBorder="1"/>
    <xf numFmtId="0" fontId="22" fillId="25" borderId="17" xfId="0" applyFont="1" applyFill="1" applyBorder="1"/>
    <xf numFmtId="0" fontId="22" fillId="11" borderId="7" xfId="0" applyFont="1" applyFill="1" applyBorder="1"/>
    <xf numFmtId="0" fontId="28" fillId="25" borderId="3" xfId="0" applyFont="1" applyFill="1" applyBorder="1"/>
    <xf numFmtId="0" fontId="28" fillId="25" borderId="5" xfId="0" applyFont="1" applyFill="1" applyBorder="1"/>
    <xf numFmtId="0" fontId="24" fillId="26" borderId="9" xfId="0" applyFont="1" applyFill="1" applyBorder="1"/>
    <xf numFmtId="0" fontId="22" fillId="26" borderId="11" xfId="0" applyFont="1" applyFill="1" applyBorder="1"/>
    <xf numFmtId="0" fontId="28" fillId="25" borderId="6" xfId="0" applyFont="1" applyFill="1" applyBorder="1"/>
    <xf numFmtId="0" fontId="28" fillId="25" borderId="8" xfId="0" applyFont="1" applyFill="1" applyBorder="1"/>
    <xf numFmtId="0" fontId="28" fillId="25" borderId="2" xfId="0" applyFont="1" applyFill="1" applyBorder="1"/>
    <xf numFmtId="0" fontId="22" fillId="26" borderId="10" xfId="0" applyFont="1" applyFill="1" applyBorder="1"/>
    <xf numFmtId="0" fontId="22" fillId="26" borderId="10" xfId="0" applyFont="1" applyFill="1" applyBorder="1" applyAlignment="1">
      <alignment horizontal="center"/>
    </xf>
    <xf numFmtId="0" fontId="24" fillId="26" borderId="10" xfId="0" applyFont="1" applyFill="1" applyBorder="1"/>
    <xf numFmtId="0" fontId="28" fillId="25" borderId="9" xfId="0" applyFont="1" applyFill="1" applyBorder="1"/>
    <xf numFmtId="0" fontId="28" fillId="25" borderId="11" xfId="0" applyFont="1" applyFill="1" applyBorder="1"/>
    <xf numFmtId="0" fontId="22" fillId="2" borderId="9" xfId="0" applyFont="1" applyFill="1" applyBorder="1"/>
    <xf numFmtId="0" fontId="22" fillId="2" borderId="12" xfId="0" applyFont="1" applyFill="1" applyBorder="1"/>
    <xf numFmtId="0" fontId="22" fillId="2" borderId="13" xfId="0" applyFont="1" applyFill="1" applyBorder="1"/>
    <xf numFmtId="0" fontId="22" fillId="11" borderId="9" xfId="0" applyFont="1" applyFill="1" applyBorder="1"/>
    <xf numFmtId="0" fontId="22" fillId="11" borderId="12" xfId="0" applyFont="1" applyFill="1" applyBorder="1"/>
    <xf numFmtId="0" fontId="22" fillId="11" borderId="13" xfId="0" applyFont="1" applyFill="1" applyBorder="1"/>
    <xf numFmtId="0" fontId="24" fillId="7" borderId="15" xfId="0" applyFont="1" applyFill="1" applyBorder="1" applyAlignment="1">
      <alignment horizontal="center"/>
    </xf>
    <xf numFmtId="0" fontId="24" fillId="7" borderId="18" xfId="0" applyFont="1" applyFill="1" applyBorder="1" applyAlignment="1">
      <alignment horizontal="center"/>
    </xf>
    <xf numFmtId="0" fontId="24" fillId="7" borderId="5" xfId="0" applyFont="1" applyFill="1" applyBorder="1" applyAlignment="1">
      <alignment horizontal="center"/>
    </xf>
    <xf numFmtId="0" fontId="29" fillId="5" borderId="19" xfId="0" applyFont="1" applyFill="1" applyBorder="1" applyAlignment="1">
      <alignment horizontal="center" wrapText="1"/>
    </xf>
    <xf numFmtId="0" fontId="29" fillId="5" borderId="2" xfId="0" applyFont="1" applyFill="1" applyBorder="1" applyAlignment="1">
      <alignment horizontal="center" wrapText="1"/>
    </xf>
    <xf numFmtId="0" fontId="30" fillId="6" borderId="20" xfId="0" quotePrefix="1" applyFont="1" applyFill="1" applyBorder="1" applyAlignment="1">
      <alignment horizontal="center"/>
    </xf>
    <xf numFmtId="0" fontId="30" fillId="6" borderId="22" xfId="0" quotePrefix="1" applyFont="1" applyFill="1" applyBorder="1" applyAlignment="1">
      <alignment horizontal="center"/>
    </xf>
    <xf numFmtId="0" fontId="24" fillId="6" borderId="15" xfId="0" applyFont="1" applyFill="1" applyBorder="1" applyAlignment="1">
      <alignment horizontal="center"/>
    </xf>
    <xf numFmtId="0" fontId="24" fillId="6" borderId="5" xfId="0" applyFont="1" applyFill="1" applyBorder="1" applyAlignment="1">
      <alignment horizontal="center"/>
    </xf>
    <xf numFmtId="0" fontId="30" fillId="6" borderId="3" xfId="0" quotePrefix="1" applyFont="1" applyFill="1" applyBorder="1" applyAlignment="1">
      <alignment horizontal="center"/>
    </xf>
    <xf numFmtId="0" fontId="30" fillId="6" borderId="14" xfId="0" quotePrefix="1" applyFont="1" applyFill="1" applyBorder="1" applyAlignment="1">
      <alignment horizontal="center"/>
    </xf>
    <xf numFmtId="0" fontId="24" fillId="24" borderId="3" xfId="0" applyFont="1" applyFill="1" applyBorder="1" applyAlignment="1">
      <alignment horizontal="center" vertical="center"/>
    </xf>
    <xf numFmtId="0" fontId="24" fillId="24" borderId="4" xfId="0" applyFont="1" applyFill="1" applyBorder="1" applyAlignment="1">
      <alignment horizontal="center" vertical="center"/>
    </xf>
    <xf numFmtId="0" fontId="24" fillId="24" borderId="14" xfId="0" applyFont="1" applyFill="1" applyBorder="1" applyAlignment="1">
      <alignment horizontal="center" vertical="center"/>
    </xf>
    <xf numFmtId="0" fontId="24" fillId="24" borderId="9" xfId="0" applyFont="1" applyFill="1" applyBorder="1" applyAlignment="1">
      <alignment horizontal="center" vertical="center"/>
    </xf>
    <xf numFmtId="0" fontId="24" fillId="24" borderId="12" xfId="0" applyFont="1" applyFill="1" applyBorder="1" applyAlignment="1">
      <alignment horizontal="center" vertical="center"/>
    </xf>
    <xf numFmtId="0" fontId="24" fillId="24" borderId="13" xfId="0" applyFont="1" applyFill="1" applyBorder="1" applyAlignment="1">
      <alignment horizontal="center" vertical="center"/>
    </xf>
    <xf numFmtId="0" fontId="24" fillId="6" borderId="15"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4" fillId="6" borderId="18"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11" borderId="3" xfId="0" applyFont="1" applyFill="1" applyBorder="1" applyAlignment="1">
      <alignment horizontal="center" vertical="center"/>
    </xf>
    <xf numFmtId="0" fontId="24" fillId="11" borderId="4" xfId="0" applyFont="1" applyFill="1" applyBorder="1" applyAlignment="1">
      <alignment horizontal="center" vertical="center"/>
    </xf>
    <xf numFmtId="0" fontId="24" fillId="11" borderId="14" xfId="0" applyFont="1" applyFill="1" applyBorder="1" applyAlignment="1">
      <alignment horizontal="center" vertical="center"/>
    </xf>
    <xf numFmtId="0" fontId="24" fillId="11" borderId="9" xfId="0" applyFont="1" applyFill="1" applyBorder="1" applyAlignment="1">
      <alignment horizontal="center" vertical="center"/>
    </xf>
    <xf numFmtId="0" fontId="24" fillId="11" borderId="12" xfId="0" applyFont="1" applyFill="1" applyBorder="1" applyAlignment="1">
      <alignment horizontal="center" vertical="center"/>
    </xf>
    <xf numFmtId="0" fontId="24" fillId="11" borderId="13" xfId="0" applyFont="1" applyFill="1" applyBorder="1" applyAlignment="1">
      <alignment horizontal="center" vertical="center"/>
    </xf>
    <xf numFmtId="0" fontId="24" fillId="26" borderId="15" xfId="0" applyFont="1" applyFill="1" applyBorder="1" applyAlignment="1">
      <alignment horizontal="center" vertical="center"/>
    </xf>
    <xf numFmtId="0" fontId="24" fillId="26" borderId="18" xfId="0" applyFont="1" applyFill="1" applyBorder="1" applyAlignment="1">
      <alignment horizontal="center" vertical="center"/>
    </xf>
    <xf numFmtId="0" fontId="24" fillId="26" borderId="5"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10" xfId="0" applyFont="1" applyFill="1" applyBorder="1" applyAlignment="1">
      <alignment horizontal="center" vertical="center"/>
    </xf>
    <xf numFmtId="0" fontId="24" fillId="26" borderId="11" xfId="0" applyFont="1" applyFill="1" applyBorder="1" applyAlignment="1">
      <alignment horizontal="center" vertical="center"/>
    </xf>
    <xf numFmtId="0" fontId="24" fillId="6" borderId="14"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3" fillId="2" borderId="0" xfId="0" applyFont="1" applyFill="1" applyAlignment="1">
      <alignment horizontal="center" vertical="center"/>
    </xf>
    <xf numFmtId="0" fontId="22" fillId="12" borderId="0" xfId="0" applyFont="1" applyFill="1" applyAlignment="1">
      <alignment horizontal="left" vertical="top" wrapText="1"/>
    </xf>
    <xf numFmtId="0" fontId="10" fillId="6" borderId="20" xfId="0" quotePrefix="1" applyFont="1" applyFill="1" applyBorder="1" applyAlignment="1">
      <alignment horizontal="center"/>
    </xf>
    <xf numFmtId="0" fontId="10" fillId="6" borderId="21" xfId="0" quotePrefix="1" applyFont="1" applyFill="1" applyBorder="1" applyAlignment="1">
      <alignment horizontal="center"/>
    </xf>
    <xf numFmtId="0" fontId="10" fillId="6" borderId="31" xfId="0" quotePrefix="1" applyFont="1" applyFill="1" applyBorder="1" applyAlignment="1">
      <alignment horizontal="center"/>
    </xf>
    <xf numFmtId="0" fontId="10" fillId="6" borderId="33" xfId="0" quotePrefix="1" applyFont="1" applyFill="1" applyBorder="1" applyAlignment="1">
      <alignment horizontal="center"/>
    </xf>
    <xf numFmtId="0" fontId="10" fillId="6" borderId="22" xfId="0" quotePrefix="1" applyFont="1" applyFill="1" applyBorder="1" applyAlignment="1">
      <alignment horizontal="center"/>
    </xf>
  </cellXfs>
  <cellStyles count="1">
    <cellStyle name="Normal" xfId="0" builtinId="0"/>
  </cellStyles>
  <dxfs count="4">
    <dxf>
      <font>
        <color theme="0" tint="-0.14996795556505021"/>
      </font>
    </dxf>
    <dxf>
      <font>
        <color theme="0" tint="-0.14996795556505021"/>
      </font>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BB100"/>
  <sheetViews>
    <sheetView tabSelected="1" zoomScale="80" zoomScaleNormal="80" workbookViewId="0">
      <pane xSplit="5" ySplit="9" topLeftCell="F10" activePane="bottomRight" state="frozen"/>
      <selection activeCell="D1" sqref="D1"/>
      <selection pane="topRight" activeCell="I1" sqref="I1"/>
      <selection pane="bottomLeft" activeCell="D8" sqref="D8"/>
      <selection pane="bottomRight" activeCell="I9" sqref="I9"/>
    </sheetView>
  </sheetViews>
  <sheetFormatPr defaultRowHeight="15.75" x14ac:dyDescent="0.25"/>
  <cols>
    <col min="1" max="1" width="4.7109375" customWidth="1"/>
    <col min="2" max="2" width="14.85546875" bestFit="1" customWidth="1"/>
    <col min="3" max="4" width="13.7109375" customWidth="1"/>
    <col min="5" max="6" width="4.7109375" customWidth="1"/>
    <col min="7" max="7" width="25" bestFit="1" customWidth="1"/>
    <col min="8" max="8" width="33.5703125" bestFit="1" customWidth="1"/>
    <col min="9" max="9" width="25.7109375" customWidth="1"/>
    <col min="10" max="10" width="4.7109375" customWidth="1"/>
    <col min="11" max="11" width="33.7109375" customWidth="1"/>
    <col min="12" max="12" width="25.7109375" customWidth="1"/>
    <col min="13" max="13" width="4.7109375" customWidth="1"/>
    <col min="14" max="14" width="22.85546875" bestFit="1" customWidth="1"/>
    <col min="15" max="15" width="20.7109375" customWidth="1"/>
    <col min="16" max="16" width="20.5703125" bestFit="1" customWidth="1"/>
    <col min="17" max="17" width="6.7109375" customWidth="1"/>
    <col min="18" max="18" width="4.7109375" customWidth="1"/>
    <col min="19" max="22" width="17.7109375" customWidth="1"/>
    <col min="23" max="23" width="4.7109375" customWidth="1"/>
    <col min="24" max="24" width="14.7109375" customWidth="1"/>
    <col min="25" max="25" width="17.42578125" bestFit="1" customWidth="1"/>
    <col min="26" max="26" width="17.42578125" customWidth="1"/>
    <col min="27" max="27" width="4.7109375" customWidth="1"/>
    <col min="28" max="29" width="17.42578125" customWidth="1"/>
    <col min="30" max="31" width="4.7109375" customWidth="1"/>
    <col min="32" max="43" width="9.140625" customWidth="1"/>
    <col min="44" max="44" width="35.7109375" customWidth="1"/>
    <col min="45" max="45" width="18.85546875" customWidth="1"/>
    <col min="46" max="52" width="35.7109375" style="51" customWidth="1"/>
    <col min="53" max="54" width="28.85546875" style="51" customWidth="1"/>
    <col min="55" max="55" width="18.85546875" customWidth="1"/>
    <col min="56" max="56" width="46.28515625" customWidth="1"/>
    <col min="57" max="57" width="4.7109375" customWidth="1"/>
    <col min="58" max="58" width="50.28515625" customWidth="1"/>
  </cols>
  <sheetData>
    <row r="1" spans="1:31" ht="35.1" customHeight="1" x14ac:dyDescent="0.25">
      <c r="A1" s="109"/>
      <c r="B1" s="109"/>
      <c r="C1" s="109"/>
      <c r="D1" s="109"/>
      <c r="E1" s="109"/>
      <c r="F1" s="109"/>
      <c r="G1" s="240" t="s">
        <v>1215</v>
      </c>
      <c r="H1" s="240"/>
      <c r="I1" s="240"/>
      <c r="J1" s="240"/>
      <c r="K1" s="240"/>
      <c r="L1" s="240"/>
      <c r="M1" s="240"/>
      <c r="N1" s="240"/>
      <c r="O1" s="240"/>
      <c r="P1" s="109"/>
      <c r="Q1" s="109"/>
      <c r="R1" s="109"/>
      <c r="S1" s="109"/>
      <c r="T1" s="109"/>
      <c r="U1" s="109"/>
      <c r="V1" s="109"/>
      <c r="W1" s="109"/>
      <c r="X1" s="109"/>
      <c r="Y1" s="109"/>
      <c r="Z1" s="109"/>
      <c r="AA1" s="109"/>
      <c r="AB1" s="109"/>
      <c r="AC1" s="109"/>
      <c r="AD1" s="109"/>
      <c r="AE1" s="109"/>
    </row>
    <row r="2" spans="1:31" ht="16.5" thickBot="1" x14ac:dyDescent="0.3">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row>
    <row r="3" spans="1:31" ht="15" customHeight="1" x14ac:dyDescent="0.25">
      <c r="A3" s="110"/>
      <c r="B3" s="203" t="s">
        <v>1206</v>
      </c>
      <c r="C3" s="204"/>
      <c r="D3" s="204"/>
      <c r="E3" s="205"/>
      <c r="F3" s="109"/>
      <c r="G3" s="111" t="s">
        <v>239</v>
      </c>
      <c r="H3" s="112" t="s">
        <v>1230</v>
      </c>
      <c r="I3" s="238" t="s">
        <v>621</v>
      </c>
      <c r="J3" s="109"/>
      <c r="K3" s="241" t="s">
        <v>1233</v>
      </c>
      <c r="L3" s="241"/>
      <c r="M3" s="241"/>
      <c r="N3" s="241"/>
      <c r="O3" s="241"/>
      <c r="P3" s="241"/>
      <c r="Q3" s="241"/>
      <c r="R3" s="241"/>
      <c r="S3" s="109"/>
      <c r="T3" s="109"/>
      <c r="U3" s="109"/>
      <c r="V3" s="109"/>
      <c r="W3" s="109"/>
      <c r="X3" s="109"/>
      <c r="Y3" s="109"/>
      <c r="Z3" s="109"/>
      <c r="AA3" s="109"/>
      <c r="AB3" s="109"/>
      <c r="AC3" s="109"/>
      <c r="AD3" s="109"/>
      <c r="AE3" s="109"/>
    </row>
    <row r="4" spans="1:31" ht="16.5" thickBot="1" x14ac:dyDescent="0.3">
      <c r="A4" s="109"/>
      <c r="B4" s="113" t="s">
        <v>1204</v>
      </c>
      <c r="C4" s="114" t="s">
        <v>303</v>
      </c>
      <c r="D4" s="115" t="str">
        <f>IF(Character_Data!$W$18&lt;VLOOKUP($C$4,Character_Data!$J$2:$K$4,2,FALSE),"AP Left:","AP Spent")</f>
        <v>AP Spent</v>
      </c>
      <c r="E4" s="116">
        <f>(MAX(0,VLOOKUP($C$4,Character_Data!$J$2:$K$4,2,FALSE)-Character_Data!$W$18)/3)+SUM(Cost_Compute!$P$6:$P$9)</f>
        <v>0</v>
      </c>
      <c r="F4" s="109"/>
      <c r="G4" s="117" t="s">
        <v>240</v>
      </c>
      <c r="H4" s="118" t="s">
        <v>1231</v>
      </c>
      <c r="I4" s="239"/>
      <c r="J4" s="109"/>
      <c r="K4" s="241"/>
      <c r="L4" s="241"/>
      <c r="M4" s="241"/>
      <c r="N4" s="241"/>
      <c r="O4" s="241"/>
      <c r="P4" s="241"/>
      <c r="Q4" s="241"/>
      <c r="R4" s="241"/>
      <c r="S4" s="109"/>
      <c r="T4" s="109"/>
      <c r="U4" s="109"/>
      <c r="V4" s="109"/>
      <c r="W4" s="109"/>
      <c r="X4" s="109"/>
      <c r="Y4" s="109"/>
      <c r="Z4" s="109"/>
      <c r="AA4" s="109"/>
      <c r="AB4" s="109"/>
      <c r="AC4" s="109"/>
      <c r="AD4" s="109"/>
      <c r="AE4" s="109"/>
    </row>
    <row r="5" spans="1:31" x14ac:dyDescent="0.25">
      <c r="A5" s="109"/>
      <c r="B5" s="119" t="s">
        <v>864</v>
      </c>
      <c r="C5" s="114" t="s">
        <v>300</v>
      </c>
      <c r="D5" s="120" t="str">
        <f>IF(SUM(Cost_Compute!$B:$B)&lt;VLOOKUP(C5,Character_Data!$J$2:$K$4,2,FALSE)/3,"AP Available:","AP Spent")</f>
        <v>AP Available:</v>
      </c>
      <c r="E5" s="116">
        <f>ABS(VLOOKUP($C$5,Character_Data!$J$2:$K$4,2,FALSE)/3-SUM(Cost_Compute!$B:$B))</f>
        <v>9</v>
      </c>
      <c r="F5" s="109"/>
      <c r="G5" s="117" t="s">
        <v>243</v>
      </c>
      <c r="H5" s="121"/>
      <c r="I5" s="122" t="str">
        <f>IFERROR(VLOOKUP(SUMIF(Character_Data!$A:$A,$H5,Character_Data!$F:$F),Character_Data!$F:$I,4,FALSE),"")</f>
        <v/>
      </c>
      <c r="J5" s="109"/>
      <c r="K5" s="241"/>
      <c r="L5" s="241"/>
      <c r="M5" s="241"/>
      <c r="N5" s="241"/>
      <c r="O5" s="241"/>
      <c r="P5" s="241"/>
      <c r="Q5" s="241"/>
      <c r="R5" s="241"/>
      <c r="S5" s="109"/>
      <c r="T5" s="109"/>
      <c r="U5" s="109"/>
      <c r="V5" s="109"/>
      <c r="W5" s="109"/>
      <c r="X5" s="109"/>
      <c r="Y5" s="109"/>
      <c r="Z5" s="109"/>
      <c r="AA5" s="109"/>
      <c r="AB5" s="109"/>
      <c r="AC5" s="109"/>
      <c r="AD5" s="109"/>
      <c r="AE5" s="109"/>
    </row>
    <row r="6" spans="1:31" ht="16.5" thickBot="1" x14ac:dyDescent="0.3">
      <c r="A6" s="109"/>
      <c r="B6" s="123" t="s">
        <v>1205</v>
      </c>
      <c r="C6" s="124" t="s">
        <v>298</v>
      </c>
      <c r="D6" s="125" t="str">
        <f>IF(SUM(Cost_Compute!$E:$E)&lt;VLOOKUP(C6,Character_Data!$J$2:$K$4,2,FALSE)/3,"AP Available:","AP Spent")</f>
        <v>AP Available:</v>
      </c>
      <c r="E6" s="126">
        <f>ABS(VLOOKUP($C$6,Character_Data!$J$2:$K$4,2,FALSE)/3-SUM(Cost_Compute!$E:$E,Cost_Compute!$E$155:$E$164))</f>
        <v>11</v>
      </c>
      <c r="F6" s="109"/>
      <c r="G6" s="117" t="s">
        <v>926</v>
      </c>
      <c r="H6" s="121"/>
      <c r="I6" s="122">
        <f>IFERROR(VLOOKUP(H5,Character_Data!$N:$T,MATCH(Character_Data!$O$1,Character_Data!$N$1:$T$1,0),FALSE),0)</f>
        <v>0</v>
      </c>
      <c r="J6" s="109"/>
      <c r="K6" s="241"/>
      <c r="L6" s="241"/>
      <c r="M6" s="241"/>
      <c r="N6" s="241"/>
      <c r="O6" s="241"/>
      <c r="P6" s="241"/>
      <c r="Q6" s="241"/>
      <c r="R6" s="241"/>
      <c r="S6" s="109"/>
      <c r="T6" s="109"/>
      <c r="U6" s="109"/>
      <c r="V6" s="109"/>
      <c r="W6" s="109"/>
      <c r="X6" s="109"/>
      <c r="Y6" s="109"/>
      <c r="Z6" s="109"/>
      <c r="AA6" s="109"/>
      <c r="AB6" s="109"/>
      <c r="AC6" s="109"/>
      <c r="AD6" s="109"/>
      <c r="AE6" s="109"/>
    </row>
    <row r="7" spans="1:31" ht="16.5" thickBot="1" x14ac:dyDescent="0.3">
      <c r="A7" s="109"/>
      <c r="B7" s="109"/>
      <c r="C7" s="109"/>
      <c r="D7" s="109"/>
      <c r="E7" s="109"/>
      <c r="F7" s="109"/>
      <c r="G7" s="127" t="s">
        <v>244</v>
      </c>
      <c r="H7" s="128" t="str">
        <f>IF(Cost_Compute!$H$22&gt;0,"Light "&amp;Cost_Compute!$H$22,IF(Cost_Compute!$H$22=0,"Neutral","Dark "&amp;Cost_Compute!$H$22))</f>
        <v>Neutral</v>
      </c>
      <c r="I7" s="109"/>
      <c r="J7" s="109"/>
      <c r="K7" s="241"/>
      <c r="L7" s="241"/>
      <c r="M7" s="241"/>
      <c r="N7" s="241"/>
      <c r="O7" s="241"/>
      <c r="P7" s="241"/>
      <c r="Q7" s="241"/>
      <c r="R7" s="241"/>
      <c r="S7" s="109"/>
      <c r="T7" s="109"/>
      <c r="U7" s="109"/>
      <c r="V7" s="109"/>
      <c r="W7" s="109"/>
      <c r="X7" s="109"/>
      <c r="Y7" s="109"/>
      <c r="Z7" s="109"/>
      <c r="AA7" s="109"/>
      <c r="AB7" s="109"/>
      <c r="AC7" s="109"/>
      <c r="AD7" s="109"/>
      <c r="AE7" s="109"/>
    </row>
    <row r="8" spans="1:31" x14ac:dyDescent="0.25">
      <c r="A8" s="109"/>
      <c r="B8" s="210" t="s">
        <v>792</v>
      </c>
      <c r="C8" s="211"/>
      <c r="D8" s="206" t="str">
        <f>IF(SUM(Cost_Compute!$P$6:$P$9,Cost_Compute!$B:$B,Cost_Compute!$E:$E)&gt;SUM(VLOOKUP($C$5,Character_Data!$J$2:$K$4,2,FALSE)/3,VLOOKUP($C$6,Character_Data!$J$2:$K$4,2,FALSE)/3,$C$9),"Too Many Points Spent!","")</f>
        <v/>
      </c>
      <c r="E8" s="207"/>
      <c r="F8" s="109"/>
      <c r="G8" s="109"/>
      <c r="H8" s="109"/>
      <c r="I8" s="109"/>
      <c r="J8" s="109"/>
      <c r="K8" s="241"/>
      <c r="L8" s="241"/>
      <c r="M8" s="241"/>
      <c r="N8" s="241"/>
      <c r="O8" s="241"/>
      <c r="P8" s="241"/>
      <c r="Q8" s="241"/>
      <c r="R8" s="241"/>
      <c r="S8" s="109"/>
      <c r="T8" s="109"/>
      <c r="U8" s="109"/>
      <c r="V8" s="109"/>
      <c r="W8" s="109"/>
      <c r="X8" s="109"/>
      <c r="Y8" s="109"/>
      <c r="Z8" s="109"/>
      <c r="AA8" s="109"/>
      <c r="AB8" s="109"/>
      <c r="AC8" s="109"/>
      <c r="AD8" s="109"/>
      <c r="AE8" s="109"/>
    </row>
    <row r="9" spans="1:31" ht="16.5" thickBot="1" x14ac:dyDescent="0.3">
      <c r="A9" s="109"/>
      <c r="B9" s="129" t="s">
        <v>1209</v>
      </c>
      <c r="C9" s="130">
        <v>28</v>
      </c>
      <c r="D9" s="206"/>
      <c r="E9" s="207"/>
      <c r="F9" s="109"/>
      <c r="G9" s="109"/>
      <c r="H9" s="109"/>
      <c r="I9" s="109"/>
      <c r="J9" s="109"/>
      <c r="K9" s="241"/>
      <c r="L9" s="241"/>
      <c r="M9" s="241"/>
      <c r="N9" s="241"/>
      <c r="O9" s="241"/>
      <c r="P9" s="241"/>
      <c r="Q9" s="241"/>
      <c r="R9" s="241"/>
      <c r="S9" s="109"/>
      <c r="T9" s="109"/>
      <c r="U9" s="109"/>
      <c r="V9" s="109"/>
      <c r="W9" s="109"/>
      <c r="X9" s="109"/>
      <c r="Y9" s="109"/>
      <c r="Z9" s="109"/>
      <c r="AA9" s="109"/>
      <c r="AB9" s="109"/>
      <c r="AC9" s="109"/>
      <c r="AD9" s="109"/>
      <c r="AE9" s="109"/>
    </row>
    <row r="10" spans="1:31" ht="16.5" customHeight="1" thickBot="1" x14ac:dyDescent="0.3">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row>
    <row r="11" spans="1:31" ht="15.75" customHeight="1" x14ac:dyDescent="0.25">
      <c r="A11" s="109"/>
      <c r="B11" s="220" t="s">
        <v>299</v>
      </c>
      <c r="C11" s="222" t="s">
        <v>1207</v>
      </c>
      <c r="D11" s="224" t="s">
        <v>792</v>
      </c>
      <c r="E11" s="109"/>
      <c r="F11" s="109"/>
      <c r="G11" s="226" t="s">
        <v>301</v>
      </c>
      <c r="H11" s="227"/>
      <c r="I11" s="227"/>
      <c r="J11" s="227"/>
      <c r="K11" s="227"/>
      <c r="L11" s="228"/>
      <c r="M11" s="109"/>
      <c r="N11" s="214" t="s">
        <v>302</v>
      </c>
      <c r="O11" s="215"/>
      <c r="P11" s="215"/>
      <c r="Q11" s="215"/>
      <c r="R11" s="215"/>
      <c r="S11" s="215"/>
      <c r="T11" s="215"/>
      <c r="U11" s="215"/>
      <c r="V11" s="215"/>
      <c r="W11" s="215"/>
      <c r="X11" s="215"/>
      <c r="Y11" s="215"/>
      <c r="Z11" s="215"/>
      <c r="AA11" s="215"/>
      <c r="AB11" s="215"/>
      <c r="AC11" s="215"/>
      <c r="AD11" s="216"/>
      <c r="AE11" s="109"/>
    </row>
    <row r="12" spans="1:31" ht="16.5" thickBot="1" x14ac:dyDescent="0.3">
      <c r="A12" s="109"/>
      <c r="B12" s="221"/>
      <c r="C12" s="223"/>
      <c r="D12" s="225"/>
      <c r="E12" s="109"/>
      <c r="F12" s="109"/>
      <c r="G12" s="229"/>
      <c r="H12" s="230"/>
      <c r="I12" s="230"/>
      <c r="J12" s="230"/>
      <c r="K12" s="230"/>
      <c r="L12" s="231"/>
      <c r="M12" s="109"/>
      <c r="N12" s="217"/>
      <c r="O12" s="218"/>
      <c r="P12" s="218"/>
      <c r="Q12" s="218"/>
      <c r="R12" s="218"/>
      <c r="S12" s="218"/>
      <c r="T12" s="218"/>
      <c r="U12" s="218"/>
      <c r="V12" s="218"/>
      <c r="W12" s="218"/>
      <c r="X12" s="218"/>
      <c r="Y12" s="218"/>
      <c r="Z12" s="218"/>
      <c r="AA12" s="218"/>
      <c r="AB12" s="218"/>
      <c r="AC12" s="218"/>
      <c r="AD12" s="219"/>
      <c r="AE12" s="109"/>
    </row>
    <row r="13" spans="1:31" ht="16.5" thickBot="1" x14ac:dyDescent="0.3">
      <c r="A13" s="109"/>
      <c r="B13" s="131" t="s">
        <v>3</v>
      </c>
      <c r="C13" s="132" t="s">
        <v>918</v>
      </c>
      <c r="D13" s="133"/>
      <c r="E13" s="109"/>
      <c r="F13" s="109"/>
      <c r="G13" s="134" t="s">
        <v>232</v>
      </c>
      <c r="H13" s="135" t="s">
        <v>788</v>
      </c>
      <c r="I13" s="136" t="s">
        <v>622</v>
      </c>
      <c r="J13" s="137"/>
      <c r="K13" s="138" t="s">
        <v>1203</v>
      </c>
      <c r="L13" s="139" t="s">
        <v>622</v>
      </c>
      <c r="M13" s="109"/>
      <c r="N13" s="140"/>
      <c r="O13" s="141"/>
      <c r="P13" s="141"/>
      <c r="Q13" s="141"/>
      <c r="R13" s="141"/>
      <c r="S13" s="141"/>
      <c r="T13" s="141"/>
      <c r="U13" s="141"/>
      <c r="V13" s="141"/>
      <c r="W13" s="141"/>
      <c r="X13" s="141"/>
      <c r="Y13" s="141"/>
      <c r="Z13" s="141"/>
      <c r="AA13" s="141"/>
      <c r="AB13" s="141"/>
      <c r="AC13" s="141"/>
      <c r="AD13" s="142"/>
      <c r="AE13" s="109"/>
    </row>
    <row r="14" spans="1:31" ht="15.75" customHeight="1" thickBot="1" x14ac:dyDescent="0.3">
      <c r="A14" s="109"/>
      <c r="B14" s="143" t="s">
        <v>4</v>
      </c>
      <c r="C14" s="144" t="s">
        <v>918</v>
      </c>
      <c r="D14" s="145"/>
      <c r="E14" s="109"/>
      <c r="F14" s="109"/>
      <c r="G14" s="146" t="s">
        <v>233</v>
      </c>
      <c r="H14" s="147"/>
      <c r="I14" s="148"/>
      <c r="J14" s="149"/>
      <c r="K14" s="150"/>
      <c r="L14" s="151"/>
      <c r="M14" s="109"/>
      <c r="N14" s="232" t="s">
        <v>871</v>
      </c>
      <c r="O14" s="233"/>
      <c r="P14" s="233"/>
      <c r="Q14" s="234"/>
      <c r="R14" s="141"/>
      <c r="S14" s="212" t="s">
        <v>365</v>
      </c>
      <c r="T14" s="213"/>
      <c r="U14" s="152" t="s">
        <v>518</v>
      </c>
      <c r="V14" s="141"/>
      <c r="W14" s="141"/>
      <c r="X14" s="208" t="s">
        <v>366</v>
      </c>
      <c r="Y14" s="209"/>
      <c r="Z14" s="153" t="str">
        <f>IF(COUNTA($Y$15:$Y$44)&gt;LEFT($C$16,1),"LOR too low!","")</f>
        <v/>
      </c>
      <c r="AA14" s="141"/>
      <c r="AB14" s="210" t="s">
        <v>885</v>
      </c>
      <c r="AC14" s="211"/>
      <c r="AD14" s="142"/>
      <c r="AE14" s="109"/>
    </row>
    <row r="15" spans="1:31" ht="16.5" thickBot="1" x14ac:dyDescent="0.3">
      <c r="A15" s="109"/>
      <c r="B15" s="143" t="s">
        <v>5</v>
      </c>
      <c r="C15" s="144" t="s">
        <v>915</v>
      </c>
      <c r="D15" s="145"/>
      <c r="E15" s="109"/>
      <c r="F15" s="109"/>
      <c r="G15" s="146" t="s">
        <v>234</v>
      </c>
      <c r="H15" s="154"/>
      <c r="I15" s="155"/>
      <c r="J15" s="149"/>
      <c r="K15" s="156"/>
      <c r="L15" s="155"/>
      <c r="M15" s="109"/>
      <c r="N15" s="235"/>
      <c r="O15" s="236"/>
      <c r="P15" s="236"/>
      <c r="Q15" s="237"/>
      <c r="R15" s="141"/>
      <c r="S15" s="157" t="s">
        <v>519</v>
      </c>
      <c r="T15" s="158"/>
      <c r="U15" s="159"/>
      <c r="V15" s="160" t="str">
        <f>IF(COUNTIF($U$15:$U$44,$U15)&gt;COUNTIF(Lookups!$B$2:$B$37,$U15),"One rune per item!","")</f>
        <v/>
      </c>
      <c r="W15" s="141"/>
      <c r="X15" s="157" t="s">
        <v>367</v>
      </c>
      <c r="Y15" s="161"/>
      <c r="Z15" s="162" t="str">
        <f>IF(COUNTIF($Y$15:$Y$44,$Y15)&gt;1,"Repeat!",IFERROR(HLOOKUP($Y15,Magic_Lores!$B$1:$ES$3,MATCH(Magic_Lores!$A$3,Magic_Lores!$A$1:$A$3,0),FALSE),""))</f>
        <v/>
      </c>
      <c r="AA15" s="141"/>
      <c r="AB15" s="163" t="s">
        <v>886</v>
      </c>
      <c r="AC15" s="164"/>
      <c r="AD15" s="142"/>
      <c r="AE15" s="109"/>
    </row>
    <row r="16" spans="1:31" ht="16.5" thickBot="1" x14ac:dyDescent="0.3">
      <c r="A16" s="109"/>
      <c r="B16" s="165" t="s">
        <v>6</v>
      </c>
      <c r="C16" s="166" t="s">
        <v>918</v>
      </c>
      <c r="D16" s="167"/>
      <c r="E16" s="109"/>
      <c r="F16" s="109"/>
      <c r="G16" s="146" t="s">
        <v>930</v>
      </c>
      <c r="H16" s="154"/>
      <c r="I16" s="155"/>
      <c r="J16" s="149"/>
      <c r="K16" s="156"/>
      <c r="L16" s="155"/>
      <c r="M16" s="109"/>
      <c r="N16" s="168" t="s">
        <v>328</v>
      </c>
      <c r="O16" s="169"/>
      <c r="P16" s="170" t="s">
        <v>330</v>
      </c>
      <c r="Q16" s="171"/>
      <c r="R16" s="141"/>
      <c r="S16" s="172" t="s">
        <v>519</v>
      </c>
      <c r="T16" s="173"/>
      <c r="U16" s="161"/>
      <c r="V16" s="160" t="str">
        <f>IF(COUNTIF($U$15:$U$44,$U16)&gt;COUNTIF(Lookups!$B$2:$B$37,$U16),"One rune per item!","")</f>
        <v/>
      </c>
      <c r="W16" s="141"/>
      <c r="X16" s="172" t="s">
        <v>367</v>
      </c>
      <c r="Y16" s="161"/>
      <c r="Z16" s="162" t="str">
        <f>IF(COUNTIF($Y$15:$Y$44,$Y16)&gt;1,"Repeat!",IFERROR(HLOOKUP($Y16,Magic_Lores!$B$1:$ES$3,MATCH(Magic_Lores!$A$3,Magic_Lores!$A$1:$A$3,0),FALSE),""))</f>
        <v/>
      </c>
      <c r="AA16" s="141"/>
      <c r="AB16" s="174" t="s">
        <v>887</v>
      </c>
      <c r="AC16" s="175"/>
      <c r="AD16" s="142"/>
      <c r="AE16" s="109"/>
    </row>
    <row r="17" spans="1:31" x14ac:dyDescent="0.25">
      <c r="A17" s="109"/>
      <c r="B17" s="109"/>
      <c r="C17" s="109"/>
      <c r="D17" s="109"/>
      <c r="E17" s="109"/>
      <c r="F17" s="109"/>
      <c r="G17" s="146" t="s">
        <v>235</v>
      </c>
      <c r="H17" s="154"/>
      <c r="I17" s="155"/>
      <c r="J17" s="149"/>
      <c r="K17" s="156"/>
      <c r="L17" s="155"/>
      <c r="M17" s="109"/>
      <c r="N17" s="163" t="s">
        <v>328</v>
      </c>
      <c r="O17" s="176"/>
      <c r="P17" s="177" t="s">
        <v>330</v>
      </c>
      <c r="Q17" s="164"/>
      <c r="R17" s="141"/>
      <c r="S17" s="172" t="s">
        <v>519</v>
      </c>
      <c r="T17" s="173"/>
      <c r="U17" s="161"/>
      <c r="V17" s="160" t="str">
        <f>IF(COUNTIF($U$15:$U$44,$U17)&gt;COUNTIF(Lookups!$B$2:$B$37,$U17),"One rune per item!","")</f>
        <v/>
      </c>
      <c r="W17" s="141"/>
      <c r="X17" s="172" t="s">
        <v>367</v>
      </c>
      <c r="Y17" s="161"/>
      <c r="Z17" s="162" t="str">
        <f>IF(COUNTIF($Y$15:$Y$44,$Y17)&gt;1,"Repeat!",IFERROR(HLOOKUP($Y17,Magic_Lores!$B$1:$ES$3,MATCH(Magic_Lores!$A$3,Magic_Lores!$A$1:$A$3,0),FALSE),""))</f>
        <v/>
      </c>
      <c r="AA17" s="141"/>
      <c r="AB17" s="141"/>
      <c r="AC17" s="141"/>
      <c r="AD17" s="142"/>
      <c r="AE17" s="109"/>
    </row>
    <row r="18" spans="1:31" ht="16.5" thickBot="1" x14ac:dyDescent="0.3">
      <c r="A18" s="109"/>
      <c r="B18" s="109"/>
      <c r="C18" s="109"/>
      <c r="D18" s="109"/>
      <c r="E18" s="109"/>
      <c r="F18" s="109"/>
      <c r="G18" s="146" t="s">
        <v>927</v>
      </c>
      <c r="H18" s="154"/>
      <c r="I18" s="155"/>
      <c r="J18" s="149"/>
      <c r="K18" s="156"/>
      <c r="L18" s="155"/>
      <c r="M18" s="109"/>
      <c r="N18" s="163" t="s">
        <v>328</v>
      </c>
      <c r="O18" s="176"/>
      <c r="P18" s="177" t="s">
        <v>330</v>
      </c>
      <c r="Q18" s="164"/>
      <c r="R18" s="141"/>
      <c r="S18" s="172" t="s">
        <v>519</v>
      </c>
      <c r="T18" s="173"/>
      <c r="U18" s="161"/>
      <c r="V18" s="160" t="str">
        <f>IF(COUNTIF($U$15:$U$44,$U18)&gt;COUNTIF(Lookups!$B$2:$B$37,$U18),"One rune per item!","")</f>
        <v/>
      </c>
      <c r="W18" s="141"/>
      <c r="X18" s="172" t="s">
        <v>367</v>
      </c>
      <c r="Y18" s="161"/>
      <c r="Z18" s="162" t="str">
        <f>IF(COUNTIF($Y$15:$Y$44,$Y18)&gt;1,"Repeat!",IFERROR(HLOOKUP($Y18,Magic_Lores!$B$1:$ES$3,MATCH(Magic_Lores!$A$3,Magic_Lores!$A$1:$A$3,0),FALSE),""))</f>
        <v/>
      </c>
      <c r="AA18" s="141"/>
      <c r="AB18" s="141"/>
      <c r="AC18" s="141"/>
      <c r="AD18" s="142"/>
      <c r="AE18" s="109"/>
    </row>
    <row r="19" spans="1:31" x14ac:dyDescent="0.25">
      <c r="A19" s="109"/>
      <c r="B19" s="109"/>
      <c r="C19" s="109"/>
      <c r="D19" s="109"/>
      <c r="E19" s="109"/>
      <c r="F19" s="109"/>
      <c r="G19" s="146" t="s">
        <v>928</v>
      </c>
      <c r="H19" s="154"/>
      <c r="I19" s="155"/>
      <c r="J19" s="149"/>
      <c r="K19" s="156"/>
      <c r="L19" s="155"/>
      <c r="M19" s="109"/>
      <c r="N19" s="163" t="s">
        <v>328</v>
      </c>
      <c r="O19" s="176"/>
      <c r="P19" s="177" t="s">
        <v>330</v>
      </c>
      <c r="Q19" s="164"/>
      <c r="R19" s="141"/>
      <c r="S19" s="172" t="s">
        <v>519</v>
      </c>
      <c r="T19" s="173"/>
      <c r="U19" s="161"/>
      <c r="V19" s="160" t="str">
        <f>IF(COUNTIF($U$15:$U$44,$U19)&gt;COUNTIF(Lookups!$B$2:$B$37,$U19),"One rune per item!","")</f>
        <v/>
      </c>
      <c r="W19" s="141"/>
      <c r="X19" s="172" t="s">
        <v>367</v>
      </c>
      <c r="Y19" s="161"/>
      <c r="Z19" s="162" t="str">
        <f>IF(COUNTIF($Y$15:$Y$44,$Y19)&gt;1,"Repeat!",IFERROR(HLOOKUP($Y19,Magic_Lores!$B$1:$ES$3,MATCH(Magic_Lores!$A$3,Magic_Lores!$A$1:$A$3,0),FALSE),""))</f>
        <v/>
      </c>
      <c r="AA19" s="141"/>
      <c r="AB19" s="210" t="s">
        <v>891</v>
      </c>
      <c r="AC19" s="211"/>
      <c r="AD19" s="142"/>
      <c r="AE19" s="109"/>
    </row>
    <row r="20" spans="1:31" ht="16.5" thickBot="1" x14ac:dyDescent="0.3">
      <c r="A20" s="109"/>
      <c r="B20" s="109"/>
      <c r="C20" s="109"/>
      <c r="D20" s="109"/>
      <c r="E20" s="109"/>
      <c r="F20" s="109"/>
      <c r="G20" s="178" t="s">
        <v>929</v>
      </c>
      <c r="H20" s="179"/>
      <c r="I20" s="180"/>
      <c r="J20" s="149"/>
      <c r="K20" s="156"/>
      <c r="L20" s="155"/>
      <c r="M20" s="109"/>
      <c r="N20" s="163" t="s">
        <v>328</v>
      </c>
      <c r="O20" s="176"/>
      <c r="P20" s="177" t="s">
        <v>330</v>
      </c>
      <c r="Q20" s="164"/>
      <c r="R20" s="141"/>
      <c r="S20" s="172" t="s">
        <v>519</v>
      </c>
      <c r="T20" s="173"/>
      <c r="U20" s="161"/>
      <c r="V20" s="160" t="str">
        <f>IF(COUNTIF($U$15:$U$44,$U20)&gt;COUNTIF(Lookups!$B$2:$B$37,$U20),"One rune per item!","")</f>
        <v/>
      </c>
      <c r="W20" s="141"/>
      <c r="X20" s="172" t="s">
        <v>367</v>
      </c>
      <c r="Y20" s="161"/>
      <c r="Z20" s="162" t="str">
        <f>IF(COUNTIF($Y$15:$Y$44,$Y20)&gt;1,"Repeat!",IFERROR(HLOOKUP($Y20,Magic_Lores!$B$1:$ES$3,MATCH(Magic_Lores!$A$3,Magic_Lores!$A$1:$A$3,0),FALSE),""))</f>
        <v/>
      </c>
      <c r="AA20" s="141"/>
      <c r="AB20" s="163" t="s">
        <v>892</v>
      </c>
      <c r="AC20" s="164"/>
      <c r="AD20" s="142"/>
      <c r="AE20" s="109"/>
    </row>
    <row r="21" spans="1:31" ht="16.5" thickBot="1" x14ac:dyDescent="0.3">
      <c r="A21" s="109"/>
      <c r="B21" s="109"/>
      <c r="C21" s="109"/>
      <c r="D21" s="109"/>
      <c r="E21" s="109"/>
      <c r="F21" s="109"/>
      <c r="G21" s="181"/>
      <c r="H21" s="137"/>
      <c r="I21" s="149"/>
      <c r="J21" s="149"/>
      <c r="K21" s="156"/>
      <c r="L21" s="155"/>
      <c r="M21" s="109"/>
      <c r="N21" s="163" t="s">
        <v>328</v>
      </c>
      <c r="O21" s="176"/>
      <c r="P21" s="177" t="s">
        <v>330</v>
      </c>
      <c r="Q21" s="164"/>
      <c r="R21" s="141"/>
      <c r="S21" s="172" t="s">
        <v>519</v>
      </c>
      <c r="T21" s="173"/>
      <c r="U21" s="161"/>
      <c r="V21" s="160" t="str">
        <f>IF(COUNTIF($U$15:$U$44,$U21)&gt;COUNTIF(Lookups!$B$2:$B$37,$U21),"One rune per item!","")</f>
        <v/>
      </c>
      <c r="W21" s="141"/>
      <c r="X21" s="172" t="s">
        <v>367</v>
      </c>
      <c r="Y21" s="161"/>
      <c r="Z21" s="162" t="str">
        <f>IF(COUNTIF($Y$15:$Y$44,$Y21)&gt;1,"Repeat!",IFERROR(HLOOKUP($Y21,Magic_Lores!$B$1:$ES$3,MATCH(Magic_Lores!$A$3,Magic_Lores!$A$1:$A$3,0),FALSE),""))</f>
        <v/>
      </c>
      <c r="AA21" s="141"/>
      <c r="AB21" s="174" t="s">
        <v>893</v>
      </c>
      <c r="AC21" s="175"/>
      <c r="AD21" s="142"/>
      <c r="AE21" s="109"/>
    </row>
    <row r="22" spans="1:31" x14ac:dyDescent="0.25">
      <c r="A22" s="109"/>
      <c r="B22" s="109"/>
      <c r="C22" s="109"/>
      <c r="D22" s="109"/>
      <c r="E22" s="109"/>
      <c r="F22" s="109"/>
      <c r="G22" s="182"/>
      <c r="H22" s="149"/>
      <c r="I22" s="149"/>
      <c r="J22" s="149"/>
      <c r="K22" s="156"/>
      <c r="L22" s="155"/>
      <c r="M22" s="109"/>
      <c r="N22" s="163" t="s">
        <v>328</v>
      </c>
      <c r="O22" s="176"/>
      <c r="P22" s="177" t="s">
        <v>330</v>
      </c>
      <c r="Q22" s="164"/>
      <c r="R22" s="141"/>
      <c r="S22" s="172" t="s">
        <v>519</v>
      </c>
      <c r="T22" s="173"/>
      <c r="U22" s="161"/>
      <c r="V22" s="160" t="str">
        <f>IF(COUNTIF($U$15:$U$44,$U22)&gt;COUNTIF(Lookups!$B$2:$B$37,$U22),"One rune per item!","")</f>
        <v/>
      </c>
      <c r="W22" s="141"/>
      <c r="X22" s="172" t="s">
        <v>367</v>
      </c>
      <c r="Y22" s="161"/>
      <c r="Z22" s="162" t="str">
        <f>IF(COUNTIF($Y$15:$Y$44,$Y22)&gt;1,"Repeat!",IFERROR(HLOOKUP($Y22,Magic_Lores!$B$1:$ES$3,MATCH(Magic_Lores!$A$3,Magic_Lores!$A$1:$A$3,0),FALSE),""))</f>
        <v/>
      </c>
      <c r="AA22" s="141"/>
      <c r="AB22" s="141"/>
      <c r="AC22" s="141"/>
      <c r="AD22" s="142"/>
      <c r="AE22" s="109"/>
    </row>
    <row r="23" spans="1:31" ht="16.5" thickBot="1" x14ac:dyDescent="0.3">
      <c r="A23" s="109"/>
      <c r="B23" s="109"/>
      <c r="C23" s="109"/>
      <c r="D23" s="109"/>
      <c r="E23" s="109"/>
      <c r="F23" s="109"/>
      <c r="G23" s="182"/>
      <c r="H23" s="149"/>
      <c r="I23" s="149"/>
      <c r="J23" s="149"/>
      <c r="K23" s="156"/>
      <c r="L23" s="155"/>
      <c r="M23" s="109"/>
      <c r="N23" s="163" t="s">
        <v>328</v>
      </c>
      <c r="O23" s="176"/>
      <c r="P23" s="177" t="s">
        <v>330</v>
      </c>
      <c r="Q23" s="164"/>
      <c r="R23" s="141"/>
      <c r="S23" s="172" t="s">
        <v>519</v>
      </c>
      <c r="T23" s="173"/>
      <c r="U23" s="161"/>
      <c r="V23" s="160" t="str">
        <f>IF(COUNTIF($U$15:$U$44,$U23)&gt;COUNTIF(Lookups!$B$2:$B$37,$U23),"One rune per item!","")</f>
        <v/>
      </c>
      <c r="W23" s="141"/>
      <c r="X23" s="172" t="s">
        <v>367</v>
      </c>
      <c r="Y23" s="161"/>
      <c r="Z23" s="162" t="str">
        <f>IF(COUNTIF($Y$15:$Y$44,$Y23)&gt;1,"Repeat!",IFERROR(HLOOKUP($Y23,Magic_Lores!$B$1:$ES$3,MATCH(Magic_Lores!$A$3,Magic_Lores!$A$1:$A$3,0),FALSE),""))</f>
        <v/>
      </c>
      <c r="AA23" s="141"/>
      <c r="AB23" s="141"/>
      <c r="AC23" s="141"/>
      <c r="AD23" s="142"/>
      <c r="AE23" s="109"/>
    </row>
    <row r="24" spans="1:31" ht="16.5" thickBot="1" x14ac:dyDescent="0.3">
      <c r="A24" s="109"/>
      <c r="B24" s="109"/>
      <c r="C24" s="109"/>
      <c r="D24" s="109"/>
      <c r="E24" s="109"/>
      <c r="F24" s="109"/>
      <c r="G24" s="182"/>
      <c r="H24" s="149"/>
      <c r="I24" s="149"/>
      <c r="J24" s="149"/>
      <c r="K24" s="156"/>
      <c r="L24" s="155"/>
      <c r="M24" s="109"/>
      <c r="N24" s="163" t="s">
        <v>328</v>
      </c>
      <c r="O24" s="176"/>
      <c r="P24" s="177" t="s">
        <v>330</v>
      </c>
      <c r="Q24" s="164"/>
      <c r="R24" s="141"/>
      <c r="S24" s="172" t="s">
        <v>519</v>
      </c>
      <c r="T24" s="173"/>
      <c r="U24" s="161"/>
      <c r="V24" s="160" t="str">
        <f>IF(COUNTIF($U$15:$U$44,$U24)&gt;COUNTIF(Lookups!$B$2:$B$37,$U24),"One rune per item!","")</f>
        <v/>
      </c>
      <c r="W24" s="141"/>
      <c r="X24" s="172" t="s">
        <v>367</v>
      </c>
      <c r="Y24" s="161"/>
      <c r="Z24" s="162" t="str">
        <f>IF(COUNTIF($Y$15:$Y$44,$Y24)&gt;1,"Repeat!",IFERROR(HLOOKUP($Y24,Magic_Lores!$B$1:$ES$3,MATCH(Magic_Lores!$A$3,Magic_Lores!$A$1:$A$3,0),FALSE),""))</f>
        <v/>
      </c>
      <c r="AA24" s="141"/>
      <c r="AB24" s="208" t="s">
        <v>774</v>
      </c>
      <c r="AC24" s="209"/>
      <c r="AD24" s="142"/>
      <c r="AE24" s="109"/>
    </row>
    <row r="25" spans="1:31" x14ac:dyDescent="0.25">
      <c r="A25" s="109"/>
      <c r="B25" s="109"/>
      <c r="C25" s="109"/>
      <c r="D25" s="109"/>
      <c r="E25" s="109"/>
      <c r="F25" s="109"/>
      <c r="G25" s="182"/>
      <c r="H25" s="149"/>
      <c r="I25" s="149"/>
      <c r="J25" s="149"/>
      <c r="K25" s="156"/>
      <c r="L25" s="155"/>
      <c r="M25" s="109"/>
      <c r="N25" s="163" t="s">
        <v>328</v>
      </c>
      <c r="O25" s="176"/>
      <c r="P25" s="177" t="s">
        <v>330</v>
      </c>
      <c r="Q25" s="164"/>
      <c r="R25" s="141"/>
      <c r="S25" s="172" t="s">
        <v>519</v>
      </c>
      <c r="T25" s="173"/>
      <c r="U25" s="161"/>
      <c r="V25" s="160" t="str">
        <f>IF(COUNTIF($U$15:$U$44,$U25)&gt;COUNTIF(Lookups!$B$2:$B$37,$U25),"One rune per item!","")</f>
        <v/>
      </c>
      <c r="W25" s="141"/>
      <c r="X25" s="172" t="s">
        <v>367</v>
      </c>
      <c r="Y25" s="161"/>
      <c r="Z25" s="162" t="str">
        <f>IF(COUNTIF($Y$15:$Y$44,$Y25)&gt;1,"Repeat!",IFERROR(HLOOKUP($Y25,Magic_Lores!$B$1:$ES$3,MATCH(Magic_Lores!$A$3,Magic_Lores!$A$1:$A$3,0),FALSE),""))</f>
        <v/>
      </c>
      <c r="AA25" s="141"/>
      <c r="AB25" s="157" t="s">
        <v>775</v>
      </c>
      <c r="AC25" s="159"/>
      <c r="AD25" s="142"/>
      <c r="AE25" s="109"/>
    </row>
    <row r="26" spans="1:31" x14ac:dyDescent="0.25">
      <c r="A26" s="109"/>
      <c r="B26" s="109"/>
      <c r="C26" s="109"/>
      <c r="D26" s="109"/>
      <c r="E26" s="109"/>
      <c r="F26" s="109"/>
      <c r="G26" s="182"/>
      <c r="H26" s="149"/>
      <c r="I26" s="149"/>
      <c r="J26" s="149"/>
      <c r="K26" s="156"/>
      <c r="L26" s="155"/>
      <c r="M26" s="109"/>
      <c r="N26" s="163" t="s">
        <v>328</v>
      </c>
      <c r="O26" s="176"/>
      <c r="P26" s="177" t="s">
        <v>330</v>
      </c>
      <c r="Q26" s="164"/>
      <c r="R26" s="141"/>
      <c r="S26" s="172" t="s">
        <v>519</v>
      </c>
      <c r="T26" s="173"/>
      <c r="U26" s="161"/>
      <c r="V26" s="160" t="str">
        <f>IF(COUNTIF($U$15:$U$44,$U26)&gt;COUNTIF(Lookups!$B$2:$B$37,$U26),"One rune per item!","")</f>
        <v/>
      </c>
      <c r="W26" s="141"/>
      <c r="X26" s="172" t="s">
        <v>367</v>
      </c>
      <c r="Y26" s="161"/>
      <c r="Z26" s="162" t="str">
        <f>IF(COUNTIF($Y$15:$Y$44,$Y26)&gt;1,"Repeat!",IFERROR(HLOOKUP($Y26,Magic_Lores!$B$1:$ES$3,MATCH(Magic_Lores!$A$3,Magic_Lores!$A$1:$A$3,0),FALSE),""))</f>
        <v/>
      </c>
      <c r="AA26" s="141"/>
      <c r="AB26" s="172" t="s">
        <v>775</v>
      </c>
      <c r="AC26" s="161"/>
      <c r="AD26" s="142"/>
      <c r="AE26" s="109"/>
    </row>
    <row r="27" spans="1:31" x14ac:dyDescent="0.25">
      <c r="A27" s="109"/>
      <c r="B27" s="109"/>
      <c r="C27" s="109"/>
      <c r="D27" s="109"/>
      <c r="E27" s="109"/>
      <c r="F27" s="109"/>
      <c r="G27" s="182"/>
      <c r="H27" s="149"/>
      <c r="I27" s="149"/>
      <c r="J27" s="149"/>
      <c r="K27" s="156"/>
      <c r="L27" s="155"/>
      <c r="M27" s="109"/>
      <c r="N27" s="163" t="s">
        <v>328</v>
      </c>
      <c r="O27" s="176"/>
      <c r="P27" s="177" t="s">
        <v>330</v>
      </c>
      <c r="Q27" s="164"/>
      <c r="R27" s="141"/>
      <c r="S27" s="172" t="s">
        <v>519</v>
      </c>
      <c r="T27" s="173"/>
      <c r="U27" s="161"/>
      <c r="V27" s="160" t="str">
        <f>IF(COUNTIF($U$15:$U$44,$U27)&gt;COUNTIF(Lookups!$B$2:$B$37,$U27),"One rune per item!","")</f>
        <v/>
      </c>
      <c r="W27" s="141"/>
      <c r="X27" s="172" t="s">
        <v>367</v>
      </c>
      <c r="Y27" s="161"/>
      <c r="Z27" s="162" t="str">
        <f>IF(COUNTIF($Y$15:$Y$44,$Y27)&gt;1,"Repeat!",IFERROR(HLOOKUP($Y27,Magic_Lores!$B$1:$ES$3,MATCH(Magic_Lores!$A$3,Magic_Lores!$A$1:$A$3,0),FALSE),""))</f>
        <v/>
      </c>
      <c r="AA27" s="141"/>
      <c r="AB27" s="172" t="s">
        <v>775</v>
      </c>
      <c r="AC27" s="161"/>
      <c r="AD27" s="142"/>
      <c r="AE27" s="109"/>
    </row>
    <row r="28" spans="1:31" ht="16.5" thickBot="1" x14ac:dyDescent="0.3">
      <c r="A28" s="109"/>
      <c r="B28" s="109"/>
      <c r="C28" s="109"/>
      <c r="D28" s="109"/>
      <c r="E28" s="109"/>
      <c r="F28" s="109"/>
      <c r="G28" s="182"/>
      <c r="H28" s="149"/>
      <c r="I28" s="149"/>
      <c r="J28" s="149"/>
      <c r="K28" s="183"/>
      <c r="L28" s="180"/>
      <c r="M28" s="109"/>
      <c r="N28" s="163" t="s">
        <v>328</v>
      </c>
      <c r="O28" s="176"/>
      <c r="P28" s="177" t="s">
        <v>330</v>
      </c>
      <c r="Q28" s="164"/>
      <c r="R28" s="141"/>
      <c r="S28" s="172" t="s">
        <v>519</v>
      </c>
      <c r="T28" s="173"/>
      <c r="U28" s="161"/>
      <c r="V28" s="160" t="str">
        <f>IF(COUNTIF($U$15:$U$44,$U28)&gt;COUNTIF(Lookups!$B$2:$B$37,$U28),"One rune per item!","")</f>
        <v/>
      </c>
      <c r="W28" s="141"/>
      <c r="X28" s="172" t="s">
        <v>367</v>
      </c>
      <c r="Y28" s="161"/>
      <c r="Z28" s="162" t="str">
        <f>IF(COUNTIF($Y$15:$Y$44,$Y28)&gt;1,"Repeat!",IFERROR(HLOOKUP($Y28,Magic_Lores!$B$1:$ES$3,MATCH(Magic_Lores!$A$3,Magic_Lores!$A$1:$A$3,0),FALSE),""))</f>
        <v/>
      </c>
      <c r="AA28" s="141"/>
      <c r="AB28" s="172" t="s">
        <v>775</v>
      </c>
      <c r="AC28" s="161"/>
      <c r="AD28" s="142"/>
      <c r="AE28" s="109"/>
    </row>
    <row r="29" spans="1:31" x14ac:dyDescent="0.25">
      <c r="A29" s="109"/>
      <c r="B29" s="109"/>
      <c r="C29" s="109"/>
      <c r="D29" s="109"/>
      <c r="E29" s="109"/>
      <c r="F29" s="109"/>
      <c r="G29" s="182"/>
      <c r="H29" s="149"/>
      <c r="I29" s="149"/>
      <c r="J29" s="149"/>
      <c r="K29" s="149"/>
      <c r="L29" s="184"/>
      <c r="M29" s="109"/>
      <c r="N29" s="163" t="s">
        <v>328</v>
      </c>
      <c r="O29" s="176"/>
      <c r="P29" s="177" t="s">
        <v>330</v>
      </c>
      <c r="Q29" s="164"/>
      <c r="R29" s="141"/>
      <c r="S29" s="172" t="s">
        <v>519</v>
      </c>
      <c r="T29" s="173"/>
      <c r="U29" s="161"/>
      <c r="V29" s="160" t="str">
        <f>IF(COUNTIF($U$15:$U$44,$U29)&gt;COUNTIF(Lookups!$B$2:$B$37,$U29),"One rune per item!","")</f>
        <v/>
      </c>
      <c r="W29" s="141"/>
      <c r="X29" s="172" t="s">
        <v>367</v>
      </c>
      <c r="Y29" s="161"/>
      <c r="Z29" s="162" t="str">
        <f>IF(COUNTIF($Y$15:$Y$44,$Y29)&gt;1,"Repeat!",IFERROR(HLOOKUP($Y29,Magic_Lores!$B$1:$ES$3,MATCH(Magic_Lores!$A$3,Magic_Lores!$A$1:$A$3,0),FALSE),""))</f>
        <v/>
      </c>
      <c r="AA29" s="141"/>
      <c r="AB29" s="172" t="s">
        <v>775</v>
      </c>
      <c r="AC29" s="161"/>
      <c r="AD29" s="142"/>
      <c r="AE29" s="109"/>
    </row>
    <row r="30" spans="1:31" ht="16.5" thickBot="1" x14ac:dyDescent="0.3">
      <c r="A30" s="109"/>
      <c r="B30" s="109"/>
      <c r="C30" s="109"/>
      <c r="D30" s="109"/>
      <c r="E30" s="109"/>
      <c r="F30" s="109"/>
      <c r="G30" s="182"/>
      <c r="H30" s="149"/>
      <c r="I30" s="149"/>
      <c r="J30" s="149"/>
      <c r="K30" s="149"/>
      <c r="L30" s="184"/>
      <c r="M30" s="109"/>
      <c r="N30" s="163" t="s">
        <v>328</v>
      </c>
      <c r="O30" s="176"/>
      <c r="P30" s="177" t="s">
        <v>330</v>
      </c>
      <c r="Q30" s="164"/>
      <c r="R30" s="141"/>
      <c r="S30" s="172" t="s">
        <v>520</v>
      </c>
      <c r="T30" s="173"/>
      <c r="U30" s="161"/>
      <c r="V30" s="160" t="str">
        <f>IF(COUNTIF($U$15:$U$44,$U30)&gt;COUNTIF(Lookups!$B$2:$B$37,$U30),"One rune per item!","")</f>
        <v/>
      </c>
      <c r="W30" s="141"/>
      <c r="X30" s="172" t="s">
        <v>367</v>
      </c>
      <c r="Y30" s="161"/>
      <c r="Z30" s="162" t="str">
        <f>IF(COUNTIF($Y$15:$Y$44,$Y30)&gt;1,"Repeat!",IFERROR(HLOOKUP($Y30,Magic_Lores!$B$1:$ES$3,MATCH(Magic_Lores!$A$3,Magic_Lores!$A$1:$A$3,0),FALSE),""))</f>
        <v/>
      </c>
      <c r="AA30" s="141"/>
      <c r="AB30" s="172" t="s">
        <v>775</v>
      </c>
      <c r="AC30" s="161"/>
      <c r="AD30" s="142"/>
      <c r="AE30" s="109"/>
    </row>
    <row r="31" spans="1:31" ht="16.5" thickBot="1" x14ac:dyDescent="0.3">
      <c r="A31" s="109"/>
      <c r="B31" s="109"/>
      <c r="C31" s="109"/>
      <c r="D31" s="109"/>
      <c r="E31" s="109"/>
      <c r="F31" s="109"/>
      <c r="G31" s="134" t="s">
        <v>1208</v>
      </c>
      <c r="H31" s="135" t="s">
        <v>789</v>
      </c>
      <c r="I31" s="139" t="s">
        <v>622</v>
      </c>
      <c r="J31" s="149"/>
      <c r="K31" s="208" t="s">
        <v>1171</v>
      </c>
      <c r="L31" s="209"/>
      <c r="M31" s="109"/>
      <c r="N31" s="163" t="s">
        <v>328</v>
      </c>
      <c r="O31" s="176"/>
      <c r="P31" s="177" t="s">
        <v>330</v>
      </c>
      <c r="Q31" s="164"/>
      <c r="R31" s="141"/>
      <c r="S31" s="172" t="s">
        <v>520</v>
      </c>
      <c r="T31" s="173"/>
      <c r="U31" s="161"/>
      <c r="V31" s="160" t="str">
        <f>IF(COUNTIF($U$15:$U$44,$U31)&gt;COUNTIF(Lookups!$B$2:$B$37,$U31),"One rune per item!","")</f>
        <v/>
      </c>
      <c r="W31" s="141"/>
      <c r="X31" s="172" t="s">
        <v>367</v>
      </c>
      <c r="Y31" s="161"/>
      <c r="Z31" s="162" t="str">
        <f>IF(COUNTIF($Y$15:$Y$44,$Y31)&gt;1,"Repeat!",IFERROR(HLOOKUP($Y31,Magic_Lores!$B$1:$ES$3,MATCH(Magic_Lores!$A$3,Magic_Lores!$A$1:$A$3,0),FALSE),""))</f>
        <v/>
      </c>
      <c r="AA31" s="141"/>
      <c r="AB31" s="172" t="s">
        <v>775</v>
      </c>
      <c r="AC31" s="161"/>
      <c r="AD31" s="142"/>
      <c r="AE31" s="109"/>
    </row>
    <row r="32" spans="1:31" ht="16.5" thickBot="1" x14ac:dyDescent="0.3">
      <c r="A32" s="109"/>
      <c r="B32" s="109"/>
      <c r="C32" s="109"/>
      <c r="D32" s="109"/>
      <c r="E32" s="109"/>
      <c r="F32" s="109"/>
      <c r="G32" s="146" t="s">
        <v>407</v>
      </c>
      <c r="H32" s="147"/>
      <c r="I32" s="147"/>
      <c r="J32" s="149"/>
      <c r="K32" s="185" t="s">
        <v>787</v>
      </c>
      <c r="L32" s="186"/>
      <c r="M32" s="109"/>
      <c r="N32" s="163" t="s">
        <v>328</v>
      </c>
      <c r="O32" s="176"/>
      <c r="P32" s="177" t="s">
        <v>330</v>
      </c>
      <c r="Q32" s="164"/>
      <c r="R32" s="141"/>
      <c r="S32" s="172" t="s">
        <v>520</v>
      </c>
      <c r="T32" s="173"/>
      <c r="U32" s="161"/>
      <c r="V32" s="160" t="str">
        <f>IF(COUNTIF($U$15:$U$44,$U32)&gt;COUNTIF(Lookups!$B$2:$B$37,$U32),"One rune per item!","")</f>
        <v/>
      </c>
      <c r="W32" s="141"/>
      <c r="X32" s="172" t="s">
        <v>367</v>
      </c>
      <c r="Y32" s="161"/>
      <c r="Z32" s="162" t="str">
        <f>IF(COUNTIF($Y$15:$Y$44,$Y32)&gt;1,"Repeat!",IFERROR(HLOOKUP($Y32,Magic_Lores!$B$1:$ES$3,MATCH(Magic_Lores!$A$3,Magic_Lores!$A$1:$A$3,0),FALSE),""))</f>
        <v/>
      </c>
      <c r="AA32" s="141"/>
      <c r="AB32" s="187" t="s">
        <v>775</v>
      </c>
      <c r="AC32" s="188"/>
      <c r="AD32" s="142"/>
      <c r="AE32" s="109"/>
    </row>
    <row r="33" spans="1:31" x14ac:dyDescent="0.25">
      <c r="A33" s="109"/>
      <c r="B33" s="109"/>
      <c r="C33" s="109"/>
      <c r="D33" s="109"/>
      <c r="E33" s="109"/>
      <c r="F33" s="109"/>
      <c r="G33" s="146" t="s">
        <v>408</v>
      </c>
      <c r="H33" s="154"/>
      <c r="I33" s="154"/>
      <c r="J33" s="149"/>
      <c r="K33" s="189" t="s">
        <v>787</v>
      </c>
      <c r="L33" s="190"/>
      <c r="M33" s="109"/>
      <c r="N33" s="163" t="s">
        <v>328</v>
      </c>
      <c r="O33" s="176"/>
      <c r="P33" s="177" t="s">
        <v>330</v>
      </c>
      <c r="Q33" s="164"/>
      <c r="R33" s="141"/>
      <c r="S33" s="172" t="s">
        <v>520</v>
      </c>
      <c r="T33" s="173"/>
      <c r="U33" s="161"/>
      <c r="V33" s="160" t="str">
        <f>IF(COUNTIF($U$15:$U$44,$U33)&gt;COUNTIF(Lookups!$B$2:$B$37,$U33),"One rune per item!","")</f>
        <v/>
      </c>
      <c r="W33" s="141"/>
      <c r="X33" s="172" t="s">
        <v>367</v>
      </c>
      <c r="Y33" s="161"/>
      <c r="Z33" s="162" t="str">
        <f>IF(COUNTIF($Y$15:$Y$44,$Y33)&gt;1,"Repeat!",IFERROR(HLOOKUP($Y33,Magic_Lores!$B$1:$ES$3,MATCH(Magic_Lores!$A$3,Magic_Lores!$A$1:$A$3,0),FALSE),""))</f>
        <v/>
      </c>
      <c r="AA33" s="141"/>
      <c r="AB33" s="141"/>
      <c r="AC33" s="141"/>
      <c r="AD33" s="142"/>
      <c r="AE33" s="109"/>
    </row>
    <row r="34" spans="1:31" ht="16.5" thickBot="1" x14ac:dyDescent="0.3">
      <c r="A34" s="109"/>
      <c r="B34" s="109"/>
      <c r="C34" s="109"/>
      <c r="D34" s="109"/>
      <c r="E34" s="109"/>
      <c r="F34" s="109"/>
      <c r="G34" s="146" t="s">
        <v>225</v>
      </c>
      <c r="H34" s="154"/>
      <c r="I34" s="154"/>
      <c r="J34" s="149"/>
      <c r="K34" s="189" t="s">
        <v>787</v>
      </c>
      <c r="L34" s="190"/>
      <c r="M34" s="109"/>
      <c r="N34" s="163" t="s">
        <v>328</v>
      </c>
      <c r="O34" s="176"/>
      <c r="P34" s="177" t="s">
        <v>330</v>
      </c>
      <c r="Q34" s="164"/>
      <c r="R34" s="141"/>
      <c r="S34" s="172" t="s">
        <v>520</v>
      </c>
      <c r="T34" s="173"/>
      <c r="U34" s="161"/>
      <c r="V34" s="160" t="str">
        <f>IF(COUNTIF($U$15:$U$44,$U34)&gt;COUNTIF(Lookups!$B$2:$B$37,$U34),"One rune per item!","")</f>
        <v/>
      </c>
      <c r="W34" s="141"/>
      <c r="X34" s="172" t="s">
        <v>367</v>
      </c>
      <c r="Y34" s="161"/>
      <c r="Z34" s="162" t="str">
        <f>IF(COUNTIF($Y$15:$Y$44,$Y34)&gt;1,"Repeat!",IFERROR(HLOOKUP($Y34,Magic_Lores!$B$1:$ES$3,MATCH(Magic_Lores!$A$3,Magic_Lores!$A$1:$A$3,0),FALSE),""))</f>
        <v/>
      </c>
      <c r="AA34" s="141"/>
      <c r="AB34" s="141"/>
      <c r="AC34" s="141"/>
      <c r="AD34" s="142"/>
      <c r="AE34" s="109"/>
    </row>
    <row r="35" spans="1:31" ht="16.5" thickBot="1" x14ac:dyDescent="0.3">
      <c r="A35" s="109"/>
      <c r="B35" s="109"/>
      <c r="C35" s="109"/>
      <c r="D35" s="109"/>
      <c r="E35" s="109"/>
      <c r="F35" s="109"/>
      <c r="G35" s="146" t="s">
        <v>226</v>
      </c>
      <c r="H35" s="191"/>
      <c r="I35" s="154"/>
      <c r="J35" s="149"/>
      <c r="K35" s="189" t="s">
        <v>787</v>
      </c>
      <c r="L35" s="190"/>
      <c r="M35" s="109"/>
      <c r="N35" s="163" t="s">
        <v>328</v>
      </c>
      <c r="O35" s="176"/>
      <c r="P35" s="177" t="s">
        <v>330</v>
      </c>
      <c r="Q35" s="164"/>
      <c r="R35" s="141"/>
      <c r="S35" s="172" t="s">
        <v>520</v>
      </c>
      <c r="T35" s="173"/>
      <c r="U35" s="161"/>
      <c r="V35" s="160" t="str">
        <f>IF(COUNTIF($U$15:$U$44,$U35)&gt;COUNTIF(Lookups!$B$2:$B$37,$U35),"One rune per item!","")</f>
        <v/>
      </c>
      <c r="W35" s="141"/>
      <c r="X35" s="172" t="s">
        <v>367</v>
      </c>
      <c r="Y35" s="161"/>
      <c r="Z35" s="162" t="str">
        <f>IF(COUNTIF($Y$15:$Y$44,$Y35)&gt;1,"Repeat!",IFERROR(HLOOKUP($Y35,Magic_Lores!$B$1:$ES$3,MATCH(Magic_Lores!$A$3,Magic_Lores!$A$1:$A$3,0),FALSE),""))</f>
        <v/>
      </c>
      <c r="AA35" s="141"/>
      <c r="AB35" s="208" t="s">
        <v>1172</v>
      </c>
      <c r="AC35" s="209"/>
      <c r="AD35" s="142"/>
      <c r="AE35" s="109"/>
    </row>
    <row r="36" spans="1:31" x14ac:dyDescent="0.25">
      <c r="A36" s="109"/>
      <c r="B36" s="109"/>
      <c r="C36" s="109"/>
      <c r="D36" s="109"/>
      <c r="E36" s="109"/>
      <c r="F36" s="109"/>
      <c r="G36" s="146" t="s">
        <v>264</v>
      </c>
      <c r="H36" s="191"/>
      <c r="I36" s="154"/>
      <c r="J36" s="149"/>
      <c r="K36" s="189" t="s">
        <v>787</v>
      </c>
      <c r="L36" s="190"/>
      <c r="M36" s="109"/>
      <c r="N36" s="163" t="s">
        <v>329</v>
      </c>
      <c r="O36" s="176"/>
      <c r="P36" s="177" t="s">
        <v>331</v>
      </c>
      <c r="Q36" s="164"/>
      <c r="R36" s="141"/>
      <c r="S36" s="172" t="s">
        <v>520</v>
      </c>
      <c r="T36" s="173"/>
      <c r="U36" s="161"/>
      <c r="V36" s="160" t="str">
        <f>IF(COUNTIF($U$15:$U$44,$U36)&gt;COUNTIF(Lookups!$B$2:$B$37,$U36),"One rune per item!","")</f>
        <v/>
      </c>
      <c r="W36" s="141"/>
      <c r="X36" s="172" t="s">
        <v>367</v>
      </c>
      <c r="Y36" s="161"/>
      <c r="Z36" s="162" t="str">
        <f>IF(COUNTIF($Y$15:$Y$44,$Y36)&gt;1,"Repeat!",IFERROR(HLOOKUP($Y36,Magic_Lores!$B$1:$ES$3,MATCH(Magic_Lores!$A$3,Magic_Lores!$A$1:$A$3,0),FALSE),""))</f>
        <v/>
      </c>
      <c r="AA36" s="141"/>
      <c r="AB36" s="157" t="s">
        <v>1173</v>
      </c>
      <c r="AC36" s="159"/>
      <c r="AD36" s="142"/>
      <c r="AE36" s="109"/>
    </row>
    <row r="37" spans="1:31" x14ac:dyDescent="0.25">
      <c r="A37" s="109"/>
      <c r="B37" s="109"/>
      <c r="C37" s="109"/>
      <c r="D37" s="109"/>
      <c r="E37" s="109"/>
      <c r="F37" s="109"/>
      <c r="G37" s="146" t="s">
        <v>227</v>
      </c>
      <c r="H37" s="154"/>
      <c r="I37" s="154"/>
      <c r="J37" s="149"/>
      <c r="K37" s="189" t="s">
        <v>787</v>
      </c>
      <c r="L37" s="190"/>
      <c r="M37" s="109"/>
      <c r="N37" s="163" t="s">
        <v>329</v>
      </c>
      <c r="O37" s="176"/>
      <c r="P37" s="177" t="s">
        <v>331</v>
      </c>
      <c r="Q37" s="164"/>
      <c r="R37" s="141"/>
      <c r="S37" s="172" t="s">
        <v>520</v>
      </c>
      <c r="T37" s="173"/>
      <c r="U37" s="161"/>
      <c r="V37" s="160" t="str">
        <f>IF(COUNTIF($U$15:$U$44,$U37)&gt;COUNTIF(Lookups!$B$2:$B$37,$U37),"One rune per item!","")</f>
        <v/>
      </c>
      <c r="W37" s="141"/>
      <c r="X37" s="172" t="s">
        <v>367</v>
      </c>
      <c r="Y37" s="161"/>
      <c r="Z37" s="162" t="str">
        <f>IF(COUNTIF($Y$15:$Y$44,$Y37)&gt;1,"Repeat!",IFERROR(HLOOKUP($Y37,Magic_Lores!$B$1:$ES$3,MATCH(Magic_Lores!$A$3,Magic_Lores!$A$1:$A$3,0),FALSE),""))</f>
        <v/>
      </c>
      <c r="AA37" s="141"/>
      <c r="AB37" s="172" t="s">
        <v>1173</v>
      </c>
      <c r="AC37" s="161"/>
      <c r="AD37" s="142"/>
      <c r="AE37" s="109"/>
    </row>
    <row r="38" spans="1:31" x14ac:dyDescent="0.25">
      <c r="A38" s="109"/>
      <c r="B38" s="109"/>
      <c r="C38" s="109"/>
      <c r="D38" s="109"/>
      <c r="E38" s="109"/>
      <c r="F38" s="109"/>
      <c r="G38" s="146" t="s">
        <v>228</v>
      </c>
      <c r="H38" s="154"/>
      <c r="I38" s="154"/>
      <c r="J38" s="149"/>
      <c r="K38" s="189" t="s">
        <v>787</v>
      </c>
      <c r="L38" s="190"/>
      <c r="M38" s="109"/>
      <c r="N38" s="163" t="s">
        <v>329</v>
      </c>
      <c r="O38" s="176"/>
      <c r="P38" s="177" t="s">
        <v>331</v>
      </c>
      <c r="Q38" s="164"/>
      <c r="R38" s="141"/>
      <c r="S38" s="172" t="s">
        <v>520</v>
      </c>
      <c r="T38" s="173"/>
      <c r="U38" s="161"/>
      <c r="V38" s="160" t="str">
        <f>IF(COUNTIF($U$15:$U$44,$U38)&gt;COUNTIF(Lookups!$B$2:$B$37,$U38),"One rune per item!","")</f>
        <v/>
      </c>
      <c r="W38" s="141"/>
      <c r="X38" s="172" t="s">
        <v>367</v>
      </c>
      <c r="Y38" s="161"/>
      <c r="Z38" s="162" t="str">
        <f>IF(COUNTIF($Y$15:$Y$44,$Y38)&gt;1,"Repeat!",IFERROR(HLOOKUP($Y38,Magic_Lores!$B$1:$ES$3,MATCH(Magic_Lores!$A$3,Magic_Lores!$A$1:$A$3,0),FALSE),""))</f>
        <v/>
      </c>
      <c r="AA38" s="141"/>
      <c r="AB38" s="172" t="s">
        <v>1173</v>
      </c>
      <c r="AC38" s="161"/>
      <c r="AD38" s="142"/>
      <c r="AE38" s="109"/>
    </row>
    <row r="39" spans="1:31" x14ac:dyDescent="0.25">
      <c r="A39" s="109"/>
      <c r="B39" s="109"/>
      <c r="C39" s="109"/>
      <c r="D39" s="109"/>
      <c r="E39" s="109"/>
      <c r="F39" s="109"/>
      <c r="G39" s="146" t="s">
        <v>461</v>
      </c>
      <c r="H39" s="154"/>
      <c r="I39" s="154"/>
      <c r="J39" s="149"/>
      <c r="K39" s="189" t="s">
        <v>787</v>
      </c>
      <c r="L39" s="190"/>
      <c r="M39" s="109"/>
      <c r="N39" s="163" t="s">
        <v>329</v>
      </c>
      <c r="O39" s="176"/>
      <c r="P39" s="177" t="s">
        <v>331</v>
      </c>
      <c r="Q39" s="164"/>
      <c r="R39" s="141"/>
      <c r="S39" s="172" t="s">
        <v>520</v>
      </c>
      <c r="T39" s="173"/>
      <c r="U39" s="161"/>
      <c r="V39" s="160" t="str">
        <f>IF(COUNTIF($U$15:$U$44,$U39)&gt;COUNTIF(Lookups!$B$2:$B$37,$U39),"One rune per item!","")</f>
        <v/>
      </c>
      <c r="W39" s="141"/>
      <c r="X39" s="172" t="s">
        <v>367</v>
      </c>
      <c r="Y39" s="161"/>
      <c r="Z39" s="162" t="str">
        <f>IF(COUNTIF($Y$15:$Y$44,$Y39)&gt;1,"Repeat!",IFERROR(HLOOKUP($Y39,Magic_Lores!$B$1:$ES$3,MATCH(Magic_Lores!$A$3,Magic_Lores!$A$1:$A$3,0),FALSE),""))</f>
        <v/>
      </c>
      <c r="AA39" s="141"/>
      <c r="AB39" s="172" t="s">
        <v>1173</v>
      </c>
      <c r="AC39" s="161"/>
      <c r="AD39" s="142"/>
      <c r="AE39" s="109"/>
    </row>
    <row r="40" spans="1:31" x14ac:dyDescent="0.25">
      <c r="A40" s="109"/>
      <c r="B40" s="109"/>
      <c r="C40" s="109"/>
      <c r="D40" s="109"/>
      <c r="E40" s="109"/>
      <c r="F40" s="109"/>
      <c r="G40" s="146" t="s">
        <v>279</v>
      </c>
      <c r="H40" s="154"/>
      <c r="I40" s="154"/>
      <c r="J40" s="149"/>
      <c r="K40" s="189" t="s">
        <v>787</v>
      </c>
      <c r="L40" s="190"/>
      <c r="M40" s="109"/>
      <c r="N40" s="163" t="s">
        <v>329</v>
      </c>
      <c r="O40" s="176"/>
      <c r="P40" s="177" t="s">
        <v>331</v>
      </c>
      <c r="Q40" s="164"/>
      <c r="R40" s="141"/>
      <c r="S40" s="172" t="s">
        <v>520</v>
      </c>
      <c r="T40" s="173"/>
      <c r="U40" s="161"/>
      <c r="V40" s="160" t="str">
        <f>IF(COUNTIF($U$15:$U$44,$U40)&gt;COUNTIF(Lookups!$B$2:$B$37,$U40),"One rune per item!","")</f>
        <v/>
      </c>
      <c r="W40" s="141"/>
      <c r="X40" s="172" t="s">
        <v>367</v>
      </c>
      <c r="Y40" s="161"/>
      <c r="Z40" s="162" t="str">
        <f>IF(COUNTIF($Y$15:$Y$44,$Y40)&gt;1,"Repeat!",IFERROR(HLOOKUP($Y40,Magic_Lores!$B$1:$ES$3,MATCH(Magic_Lores!$A$3,Magic_Lores!$A$1:$A$3,0),FALSE),""))</f>
        <v/>
      </c>
      <c r="AA40" s="141"/>
      <c r="AB40" s="172" t="s">
        <v>1173</v>
      </c>
      <c r="AC40" s="161"/>
      <c r="AD40" s="142"/>
      <c r="AE40" s="109"/>
    </row>
    <row r="41" spans="1:31" x14ac:dyDescent="0.25">
      <c r="A41" s="109"/>
      <c r="B41" s="109"/>
      <c r="C41" s="109"/>
      <c r="D41" s="109"/>
      <c r="E41" s="109"/>
      <c r="F41" s="109"/>
      <c r="G41" s="146" t="s">
        <v>280</v>
      </c>
      <c r="H41" s="154"/>
      <c r="I41" s="154"/>
      <c r="J41" s="149"/>
      <c r="K41" s="189" t="s">
        <v>787</v>
      </c>
      <c r="L41" s="190"/>
      <c r="M41" s="109"/>
      <c r="N41" s="163" t="s">
        <v>329</v>
      </c>
      <c r="O41" s="176"/>
      <c r="P41" s="177" t="s">
        <v>331</v>
      </c>
      <c r="Q41" s="164"/>
      <c r="R41" s="141"/>
      <c r="S41" s="172" t="s">
        <v>520</v>
      </c>
      <c r="T41" s="173"/>
      <c r="U41" s="161"/>
      <c r="V41" s="160" t="str">
        <f>IF(COUNTIF($U$15:$U$44,$U41)&gt;COUNTIF(Lookups!$B$2:$B$37,$U41),"One rune per item!","")</f>
        <v/>
      </c>
      <c r="W41" s="141"/>
      <c r="X41" s="172" t="s">
        <v>367</v>
      </c>
      <c r="Y41" s="161"/>
      <c r="Z41" s="162" t="str">
        <f>IF(COUNTIF($Y$15:$Y$44,$Y41)&gt;1,"Repeat!",IFERROR(HLOOKUP($Y41,Magic_Lores!$B$1:$ES$3,MATCH(Magic_Lores!$A$3,Magic_Lores!$A$1:$A$3,0),FALSE),""))</f>
        <v/>
      </c>
      <c r="AA41" s="141"/>
      <c r="AB41" s="172" t="s">
        <v>1173</v>
      </c>
      <c r="AC41" s="161"/>
      <c r="AD41" s="142"/>
      <c r="AE41" s="109"/>
    </row>
    <row r="42" spans="1:31" x14ac:dyDescent="0.25">
      <c r="A42" s="109"/>
      <c r="B42" s="109"/>
      <c r="C42" s="109"/>
      <c r="D42" s="109"/>
      <c r="E42" s="109"/>
      <c r="F42" s="109"/>
      <c r="G42" s="146" t="s">
        <v>229</v>
      </c>
      <c r="H42" s="154"/>
      <c r="I42" s="154"/>
      <c r="J42" s="149"/>
      <c r="K42" s="189" t="s">
        <v>787</v>
      </c>
      <c r="L42" s="190"/>
      <c r="M42" s="109"/>
      <c r="N42" s="163" t="s">
        <v>329</v>
      </c>
      <c r="O42" s="176"/>
      <c r="P42" s="177" t="s">
        <v>331</v>
      </c>
      <c r="Q42" s="164"/>
      <c r="R42" s="141"/>
      <c r="S42" s="172" t="s">
        <v>520</v>
      </c>
      <c r="T42" s="173"/>
      <c r="U42" s="161"/>
      <c r="V42" s="160" t="str">
        <f>IF(COUNTIF($U$15:$U$44,$U42)&gt;COUNTIF(Lookups!$B$2:$B$37,$U42),"One rune per item!","")</f>
        <v/>
      </c>
      <c r="W42" s="141"/>
      <c r="X42" s="172" t="s">
        <v>367</v>
      </c>
      <c r="Y42" s="161"/>
      <c r="Z42" s="162" t="str">
        <f>IF(COUNTIF($Y$15:$Y$44,$Y42)&gt;1,"Repeat!",IFERROR(HLOOKUP($Y42,Magic_Lores!$B$1:$ES$3,MATCH(Magic_Lores!$A$3,Magic_Lores!$A$1:$A$3,0),FALSE),""))</f>
        <v/>
      </c>
      <c r="AA42" s="141"/>
      <c r="AB42" s="172" t="s">
        <v>1173</v>
      </c>
      <c r="AC42" s="161"/>
      <c r="AD42" s="142"/>
      <c r="AE42" s="109"/>
    </row>
    <row r="43" spans="1:31" ht="16.5" thickBot="1" x14ac:dyDescent="0.3">
      <c r="A43" s="109"/>
      <c r="B43" s="109"/>
      <c r="C43" s="109"/>
      <c r="D43" s="109"/>
      <c r="E43" s="109"/>
      <c r="F43" s="109"/>
      <c r="G43" s="146" t="s">
        <v>230</v>
      </c>
      <c r="H43" s="154"/>
      <c r="I43" s="154"/>
      <c r="J43" s="149"/>
      <c r="K43" s="189" t="s">
        <v>787</v>
      </c>
      <c r="L43" s="190"/>
      <c r="M43" s="109"/>
      <c r="N43" s="163" t="s">
        <v>329</v>
      </c>
      <c r="O43" s="176"/>
      <c r="P43" s="177" t="s">
        <v>331</v>
      </c>
      <c r="Q43" s="164"/>
      <c r="R43" s="141"/>
      <c r="S43" s="172" t="s">
        <v>520</v>
      </c>
      <c r="T43" s="173"/>
      <c r="U43" s="161"/>
      <c r="V43" s="160" t="str">
        <f>IF(COUNTIF($U$15:$U$44,$U43)&gt;COUNTIF(Lookups!$B$2:$B$37,$U43),"One rune per item!","")</f>
        <v/>
      </c>
      <c r="W43" s="141"/>
      <c r="X43" s="172" t="s">
        <v>367</v>
      </c>
      <c r="Y43" s="161"/>
      <c r="Z43" s="162" t="str">
        <f>IF(COUNTIF($Y$15:$Y$44,$Y43)&gt;1,"Repeat!",IFERROR(HLOOKUP($Y43,Magic_Lores!$B$1:$ES$3,MATCH(Magic_Lores!$A$3,Magic_Lores!$A$1:$A$3,0),FALSE),""))</f>
        <v/>
      </c>
      <c r="AA43" s="141"/>
      <c r="AB43" s="187" t="s">
        <v>1173</v>
      </c>
      <c r="AC43" s="188"/>
      <c r="AD43" s="142"/>
      <c r="AE43" s="109"/>
    </row>
    <row r="44" spans="1:31" ht="16.5" thickBot="1" x14ac:dyDescent="0.3">
      <c r="A44" s="109"/>
      <c r="B44" s="109"/>
      <c r="C44" s="109"/>
      <c r="D44" s="109"/>
      <c r="E44" s="109"/>
      <c r="F44" s="109"/>
      <c r="G44" s="146" t="s">
        <v>263</v>
      </c>
      <c r="H44" s="154"/>
      <c r="I44" s="154"/>
      <c r="J44" s="149"/>
      <c r="K44" s="189" t="s">
        <v>787</v>
      </c>
      <c r="L44" s="190"/>
      <c r="M44" s="109"/>
      <c r="N44" s="163" t="s">
        <v>329</v>
      </c>
      <c r="O44" s="176"/>
      <c r="P44" s="177" t="s">
        <v>331</v>
      </c>
      <c r="Q44" s="164"/>
      <c r="R44" s="141"/>
      <c r="S44" s="187" t="s">
        <v>520</v>
      </c>
      <c r="T44" s="192"/>
      <c r="U44" s="188"/>
      <c r="V44" s="160" t="str">
        <f>IF(COUNTIF($U$15:$U$44,$U44)&gt;COUNTIF(Lookups!$B$2:$B$37,$U44),"One rune per item!","")</f>
        <v/>
      </c>
      <c r="W44" s="141"/>
      <c r="X44" s="187" t="s">
        <v>367</v>
      </c>
      <c r="Y44" s="188"/>
      <c r="Z44" s="162" t="str">
        <f>IF(COUNTIF($Y$15:$Y$44,$Y44)&gt;1,"Repeat!",IFERROR(HLOOKUP($Y44,Magic_Lores!$B$1:$ES$3,MATCH(Magic_Lores!$A$3,Magic_Lores!$A$1:$A$3,0),FALSE),""))</f>
        <v/>
      </c>
      <c r="AA44" s="141"/>
      <c r="AB44" s="141"/>
      <c r="AC44" s="141"/>
      <c r="AD44" s="142"/>
      <c r="AE44" s="109"/>
    </row>
    <row r="45" spans="1:31" ht="16.5" thickBot="1" x14ac:dyDescent="0.3">
      <c r="A45" s="109"/>
      <c r="B45" s="109"/>
      <c r="C45" s="109"/>
      <c r="D45" s="109"/>
      <c r="E45" s="109"/>
      <c r="F45" s="109"/>
      <c r="G45" s="178" t="s">
        <v>231</v>
      </c>
      <c r="H45" s="179"/>
      <c r="I45" s="179"/>
      <c r="J45" s="149"/>
      <c r="K45" s="189" t="s">
        <v>787</v>
      </c>
      <c r="L45" s="190"/>
      <c r="M45" s="109"/>
      <c r="N45" s="174" t="s">
        <v>329</v>
      </c>
      <c r="O45" s="193"/>
      <c r="P45" s="194" t="s">
        <v>331</v>
      </c>
      <c r="Q45" s="175"/>
      <c r="R45" s="141"/>
      <c r="S45" s="141"/>
      <c r="T45" s="141"/>
      <c r="U45" s="141"/>
      <c r="V45" s="141"/>
      <c r="W45" s="141"/>
      <c r="X45" s="141"/>
      <c r="Y45" s="141"/>
      <c r="Z45" s="141"/>
      <c r="AA45" s="141"/>
      <c r="AB45" s="141"/>
      <c r="AC45" s="141"/>
      <c r="AD45" s="142"/>
      <c r="AE45" s="109"/>
    </row>
    <row r="46" spans="1:31" ht="16.5" thickBot="1" x14ac:dyDescent="0.3">
      <c r="A46" s="109"/>
      <c r="B46" s="109"/>
      <c r="C46" s="109"/>
      <c r="D46" s="109"/>
      <c r="E46" s="109"/>
      <c r="F46" s="109"/>
      <c r="G46" s="182"/>
      <c r="H46" s="149"/>
      <c r="I46" s="149"/>
      <c r="J46" s="149"/>
      <c r="K46" s="195" t="s">
        <v>787</v>
      </c>
      <c r="L46" s="196"/>
      <c r="M46" s="109"/>
      <c r="N46" s="197"/>
      <c r="O46" s="198"/>
      <c r="P46" s="198"/>
      <c r="Q46" s="198"/>
      <c r="R46" s="198"/>
      <c r="S46" s="198"/>
      <c r="T46" s="198"/>
      <c r="U46" s="198"/>
      <c r="V46" s="198"/>
      <c r="W46" s="198"/>
      <c r="X46" s="198"/>
      <c r="Y46" s="198"/>
      <c r="Z46" s="198"/>
      <c r="AA46" s="198"/>
      <c r="AB46" s="198"/>
      <c r="AC46" s="198"/>
      <c r="AD46" s="199"/>
      <c r="AE46" s="109"/>
    </row>
    <row r="47" spans="1:31" ht="16.5" thickBot="1" x14ac:dyDescent="0.3">
      <c r="A47" s="109"/>
      <c r="B47" s="109"/>
      <c r="C47" s="109"/>
      <c r="D47" s="109"/>
      <c r="E47" s="109"/>
      <c r="F47" s="109"/>
      <c r="G47" s="200" t="str">
        <f>IFERROR(VLOOKUP(Lookups!$AD34,Equipment!#REF!,2,FALSE),"")</f>
        <v/>
      </c>
      <c r="H47" s="201"/>
      <c r="I47" s="201"/>
      <c r="J47" s="201"/>
      <c r="K47" s="201"/>
      <c r="L47" s="202"/>
      <c r="M47" s="109"/>
      <c r="N47" s="109"/>
      <c r="O47" s="109"/>
      <c r="P47" s="109"/>
      <c r="Q47" s="109"/>
      <c r="R47" s="109"/>
      <c r="S47" s="109"/>
      <c r="T47" s="109"/>
      <c r="U47" s="109"/>
      <c r="V47" s="109"/>
      <c r="W47" s="109"/>
      <c r="X47" s="109"/>
      <c r="Y47" s="109"/>
      <c r="Z47" s="109"/>
      <c r="AA47" s="109"/>
      <c r="AB47" s="109"/>
      <c r="AC47" s="109"/>
      <c r="AD47" s="109"/>
      <c r="AE47" s="109"/>
    </row>
    <row r="48" spans="1:31" x14ac:dyDescent="0.25">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row>
    <row r="49" spans="1:31" x14ac:dyDescent="0.25">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row>
    <row r="50" spans="1:31" x14ac:dyDescent="0.25">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row>
    <row r="51" spans="1:31" x14ac:dyDescent="0.25">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row>
    <row r="52" spans="1:31" x14ac:dyDescent="0.25">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row>
    <row r="53" spans="1:31" x14ac:dyDescent="0.25">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row>
    <row r="54" spans="1:31" x14ac:dyDescent="0.25">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row>
    <row r="55" spans="1:31" x14ac:dyDescent="0.25">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row>
    <row r="56" spans="1:31" x14ac:dyDescent="0.25">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row>
    <row r="57" spans="1:31" x14ac:dyDescent="0.2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row>
    <row r="58" spans="1:31" x14ac:dyDescent="0.25">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row>
    <row r="59" spans="1:31" x14ac:dyDescent="0.2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row>
    <row r="60" spans="1:31" x14ac:dyDescent="0.2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row>
    <row r="61" spans="1:31" x14ac:dyDescent="0.2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row>
    <row r="62" spans="1:31" x14ac:dyDescent="0.25">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row>
    <row r="63" spans="1:31" x14ac:dyDescent="0.2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row>
    <row r="64" spans="1:31" x14ac:dyDescent="0.2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row>
    <row r="65" spans="1:31" x14ac:dyDescent="0.25">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row>
    <row r="66" spans="1:31" x14ac:dyDescent="0.2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row>
    <row r="67" spans="1:31" x14ac:dyDescent="0.2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row>
    <row r="68" spans="1:31" x14ac:dyDescent="0.2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row>
    <row r="69" spans="1:31" x14ac:dyDescent="0.2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row>
    <row r="70" spans="1:31" x14ac:dyDescent="0.25">
      <c r="A70" s="110"/>
      <c r="B70" s="110"/>
      <c r="C70" s="110"/>
      <c r="D70" s="110"/>
      <c r="E70" s="110"/>
      <c r="F70" s="110"/>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row>
    <row r="71" spans="1:31" x14ac:dyDescent="0.2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row>
    <row r="72" spans="1:31" x14ac:dyDescent="0.2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row>
    <row r="73" spans="1:31" x14ac:dyDescent="0.25">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row>
    <row r="74" spans="1:31" x14ac:dyDescent="0.2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row>
    <row r="75" spans="1:31" x14ac:dyDescent="0.2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row>
    <row r="76" spans="1:31" x14ac:dyDescent="0.2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row>
    <row r="77" spans="1:3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x14ac:dyDescent="0.25">
      <c r="A90" s="30"/>
      <c r="B90" s="30"/>
      <c r="C90" s="30"/>
      <c r="D90" s="30"/>
      <c r="E90" s="30"/>
      <c r="F90" s="30"/>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sheetData>
  <protectedRanges>
    <protectedRange algorithmName="SHA-512" hashValue="fVG7ak8msebm5rHaM8JcxnIz8jHGdTmtZyhWD0H/Bzz3kAQqzRy1jMANiVylQgwMIkXaB/fCY4r+JsHUhKubdg==" saltValue="ic9xJsurRqik5Aok7d+Uzg==" spinCount="100000" sqref="AF325:BF1048575 AE1:AE64 AD1:AD17860 BG1:BG1048575" name="HiddenLookups"/>
  </protectedRanges>
  <sortState ref="BE21:BE22">
    <sortCondition ref="BE21"/>
  </sortState>
  <mergeCells count="19">
    <mergeCell ref="G1:O1"/>
    <mergeCell ref="K3:R9"/>
    <mergeCell ref="AB35:AC35"/>
    <mergeCell ref="B8:C8"/>
    <mergeCell ref="B11:B12"/>
    <mergeCell ref="C11:C12"/>
    <mergeCell ref="D11:D12"/>
    <mergeCell ref="G11:L12"/>
    <mergeCell ref="N14:Q15"/>
    <mergeCell ref="K31:L31"/>
    <mergeCell ref="B3:E3"/>
    <mergeCell ref="D8:E9"/>
    <mergeCell ref="AB24:AC24"/>
    <mergeCell ref="AB14:AC14"/>
    <mergeCell ref="AB19:AC19"/>
    <mergeCell ref="S14:T14"/>
    <mergeCell ref="N11:AD12"/>
    <mergeCell ref="X14:Y14"/>
    <mergeCell ref="I3:I4"/>
  </mergeCells>
  <conditionalFormatting sqref="I6">
    <cfRule type="cellIs" dxfId="3" priority="2" operator="equal">
      <formula>0</formula>
    </cfRule>
  </conditionalFormatting>
  <conditionalFormatting sqref="I5">
    <cfRule type="cellIs" dxfId="2" priority="1" operator="equal">
      <formula>0</formula>
    </cfRule>
  </conditionalFormatting>
  <dataValidations count="2">
    <dataValidation type="list" allowBlank="1" showInputMessage="1" showErrorMessage="1" sqref="C4:C6">
      <formula1>"STRONG,AVERAGE,WEAK"</formula1>
    </dataValidation>
    <dataValidation type="list" allowBlank="1" showInputMessage="1" showErrorMessage="1" sqref="Q16:Q45 AC20:AC21 AC16">
      <formula1>"1,2,3,4,5,6,7,8,9,10"</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Character_Data!$N$1:$N$51</xm:f>
          </x14:formula1>
          <xm:sqref>H5:H6</xm:sqref>
        </x14:dataValidation>
        <x14:dataValidation type="list" allowBlank="1" showInputMessage="1" showErrorMessage="1">
          <x14:formula1>
            <xm:f>Enhancements!$J$2:$J$32</xm:f>
          </x14:formula1>
          <xm:sqref>AC25:AC32</xm:sqref>
        </x14:dataValidation>
        <x14:dataValidation type="list" allowBlank="1" showInputMessage="1" showErrorMessage="1">
          <x14:formula1>
            <xm:f>Enhancements!$M$12:$M$37</xm:f>
          </x14:formula1>
          <xm:sqref>AC36:AC43</xm:sqref>
        </x14:dataValidation>
        <x14:dataValidation type="list" allowBlank="1" showInputMessage="1" showErrorMessage="1">
          <x14:formula1>
            <xm:f>Lookups!$B$2:$B$22</xm:f>
          </x14:formula1>
          <xm:sqref>U15:U44</xm:sqref>
        </x14:dataValidation>
        <x14:dataValidation type="list" allowBlank="1" showInputMessage="1" showErrorMessage="1">
          <x14:formula1>
            <xm:f>Lookups!$Q$1:$Q$157</xm:f>
          </x14:formula1>
          <xm:sqref>Y15:Y44</xm:sqref>
        </x14:dataValidation>
        <x14:dataValidation type="list" allowBlank="1" showInputMessage="1" showErrorMessage="1">
          <x14:formula1>
            <xm:f>Lookups!$AE$3:$AE$139</xm:f>
          </x14:formula1>
          <xm:sqref>H14:H15</xm:sqref>
        </x14:dataValidation>
        <x14:dataValidation type="list" allowBlank="1" showInputMessage="1" showErrorMessage="1">
          <x14:formula1>
            <xm:f>Lookups!$AE$165:$AE$195</xm:f>
          </x14:formula1>
          <xm:sqref>H17</xm:sqref>
        </x14:dataValidation>
        <x14:dataValidation type="list" allowBlank="1" showInputMessage="1" showErrorMessage="1">
          <x14:formula1>
            <xm:f>Lookups!$AE$2:$AE$195</xm:f>
          </x14:formula1>
          <xm:sqref>H19:H20</xm:sqref>
        </x14:dataValidation>
        <x14:dataValidation type="list" allowBlank="1" showInputMessage="1" showErrorMessage="1">
          <x14:formula1>
            <xm:f>Lookups!$AE$213:$AE$224</xm:f>
          </x14:formula1>
          <xm:sqref>T15:T29</xm:sqref>
        </x14:dataValidation>
        <x14:dataValidation type="list" allowBlank="1" showInputMessage="1" showErrorMessage="1">
          <x14:formula1>
            <xm:f>Lookups!$AC$2:$AC$25</xm:f>
          </x14:formula1>
          <xm:sqref>H32:H33</xm:sqref>
        </x14:dataValidation>
        <x14:dataValidation type="list" allowBlank="1" showInputMessage="1" showErrorMessage="1">
          <x14:formula1>
            <xm:f>Lookups!$AC$100</xm:f>
          </x14:formula1>
          <xm:sqref>H40:H41</xm:sqref>
        </x14:dataValidation>
        <x14:dataValidation type="list" allowBlank="1" showInputMessage="1" showErrorMessage="1">
          <x14:formula1>
            <xm:f>Lookups!$AC$71:$AC$76</xm:f>
          </x14:formula1>
          <xm:sqref>H37:H39</xm:sqref>
        </x14:dataValidation>
        <x14:dataValidation type="list" allowBlank="1" showInputMessage="1" showErrorMessage="1">
          <x14:formula1>
            <xm:f>Lookups!$AC$28:$AC$67</xm:f>
          </x14:formula1>
          <xm:sqref>H34:H36</xm:sqref>
        </x14:dataValidation>
        <x14:dataValidation type="list" allowBlank="1" showInputMessage="1" showErrorMessage="1">
          <x14:formula1>
            <xm:f>Lookups!$AC$103:$AC$117</xm:f>
          </x14:formula1>
          <xm:sqref>H42:H43</xm:sqref>
        </x14:dataValidation>
        <x14:dataValidation type="list" allowBlank="1" showInputMessage="1" showErrorMessage="1">
          <x14:formula1>
            <xm:f>Lookups!$AC$79:$AC$97</xm:f>
          </x14:formula1>
          <xm:sqref>H44</xm:sqref>
        </x14:dataValidation>
        <x14:dataValidation type="list" allowBlank="1" showInputMessage="1" showErrorMessage="1">
          <x14:formula1>
            <xm:f>Lookups!$AC$120:$AC$131</xm:f>
          </x14:formula1>
          <xm:sqref>H45</xm:sqref>
        </x14:dataValidation>
        <x14:dataValidation type="list" allowBlank="1" showInputMessage="1" showErrorMessage="1">
          <x14:formula1>
            <xm:f>Lookups!$AE$198:$AE$209</xm:f>
          </x14:formula1>
          <xm:sqref>H16</xm:sqref>
        </x14:dataValidation>
        <x14:dataValidation type="list" allowBlank="1" showInputMessage="1" showErrorMessage="1">
          <x14:formula1>
            <xm:f>Lookups!$AE$2:$AE$209</xm:f>
          </x14:formula1>
          <xm:sqref>H18</xm:sqref>
        </x14:dataValidation>
        <x14:dataValidation type="list" allowBlank="1" showInputMessage="1" showErrorMessage="1">
          <x14:formula1>
            <xm:f>Lookups!$AE$227:$AE$246</xm:f>
          </x14:formula1>
          <xm:sqref>T30:T44</xm:sqref>
        </x14:dataValidation>
        <x14:dataValidation type="list" allowBlank="1" showInputMessage="1" showErrorMessage="1">
          <x14:formula1>
            <xm:f>Lookups!$AC$202:$AC$324</xm:f>
          </x14:formula1>
          <xm:sqref>L32:L46</xm:sqref>
        </x14:dataValidation>
        <x14:dataValidation type="list" allowBlank="1" showInputMessage="1" showErrorMessage="1">
          <x14:formula1>
            <xm:f>Lookups!$AC$134:$AC$199</xm:f>
          </x14:formula1>
          <xm:sqref>K14:K28</xm:sqref>
        </x14:dataValidation>
        <x14:dataValidation type="list" allowBlank="1" showInputMessage="1" showErrorMessage="1">
          <x14:formula1>
            <xm:f>INDIRECT(Lookups!$B40)</xm:f>
          </x14:formula1>
          <xm:sqref>C13:C16</xm:sqref>
        </x14:dataValidation>
        <x14:dataValidation type="list" allowBlank="1" showInputMessage="1" showErrorMessage="1">
          <x14:formula1>
            <xm:f>Lookups!$E23:$H23</xm:f>
          </x14:formula1>
          <xm:sqref>L14:L28</xm:sqref>
        </x14:dataValidation>
        <x14:dataValidation type="list" allowBlank="1" showInputMessage="1" showErrorMessage="1">
          <x14:formula1>
            <xm:f>Lookups!$D9:$H9</xm:f>
          </x14:formula1>
          <xm:sqref>I32:I45</xm:sqref>
        </x14:dataValidation>
        <x14:dataValidation type="list" allowBlank="1" showInputMessage="1" showErrorMessage="1">
          <x14:formula1>
            <xm:f>Lookups!$D2:$H2</xm:f>
          </x14:formula1>
          <xm:sqref>I14:I20</xm:sqref>
        </x14:dataValidation>
        <x14:dataValidation type="list" allowBlank="1" showInputMessage="1" showErrorMessage="1">
          <x14:formula1>
            <xm:f>Cost_Compute!$H12:$O12</xm:f>
          </x14:formula1>
          <xm:sqref>D13:D16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96"/>
  <sheetViews>
    <sheetView zoomScale="70" zoomScaleNormal="70" workbookViewId="0">
      <selection activeCell="D4" sqref="D4"/>
    </sheetView>
  </sheetViews>
  <sheetFormatPr defaultRowHeight="15" x14ac:dyDescent="0.25"/>
  <cols>
    <col min="1" max="1" width="4.7109375" customWidth="1"/>
    <col min="2" max="2" width="15.7109375" customWidth="1"/>
    <col min="3" max="3" width="33.5703125" bestFit="1" customWidth="1"/>
    <col min="4" max="4" width="28.28515625" customWidth="1"/>
    <col min="5" max="5" width="13.7109375" customWidth="1"/>
    <col min="6" max="6" width="15.42578125" bestFit="1" customWidth="1"/>
    <col min="7" max="7" width="35.7109375" customWidth="1"/>
    <col min="8" max="8" width="13.7109375" customWidth="1"/>
    <col min="9" max="9" width="45.7109375" customWidth="1"/>
    <col min="10" max="10" width="15.85546875" bestFit="1" customWidth="1"/>
    <col min="11" max="11" width="35.7109375" customWidth="1"/>
    <col min="12" max="12" width="13.7109375" customWidth="1"/>
    <col min="13" max="13" width="4.7109375" customWidth="1"/>
  </cols>
  <sheetData>
    <row r="1" spans="1:13" ht="15.75" thickBot="1" x14ac:dyDescent="0.3">
      <c r="A1" s="12"/>
      <c r="B1" s="12"/>
      <c r="C1" s="12"/>
      <c r="D1" s="12"/>
      <c r="E1" s="12"/>
      <c r="F1" s="12"/>
      <c r="G1" s="12"/>
      <c r="H1" s="12"/>
      <c r="I1" s="12"/>
      <c r="J1" s="12"/>
      <c r="K1" s="12"/>
      <c r="L1" s="12"/>
      <c r="M1" s="12"/>
    </row>
    <row r="2" spans="1:13" ht="15.75" thickBot="1" x14ac:dyDescent="0.3">
      <c r="A2" s="12"/>
      <c r="B2" s="242" t="s">
        <v>867</v>
      </c>
      <c r="C2" s="243"/>
      <c r="D2" s="243"/>
      <c r="E2" s="246"/>
      <c r="F2" s="242" t="s">
        <v>864</v>
      </c>
      <c r="G2" s="243"/>
      <c r="H2" s="243"/>
      <c r="I2" s="243"/>
      <c r="J2" s="243"/>
      <c r="K2" s="246"/>
      <c r="L2" s="12"/>
      <c r="M2" s="12"/>
    </row>
    <row r="3" spans="1:13" x14ac:dyDescent="0.25">
      <c r="A3" s="12"/>
      <c r="B3" s="57"/>
      <c r="C3" s="58" t="s">
        <v>334</v>
      </c>
      <c r="D3" s="58" t="s">
        <v>868</v>
      </c>
      <c r="E3" s="58" t="s">
        <v>633</v>
      </c>
      <c r="F3" s="57" t="s">
        <v>49</v>
      </c>
      <c r="G3" s="58" t="s">
        <v>622</v>
      </c>
      <c r="H3" s="58" t="s">
        <v>50</v>
      </c>
      <c r="I3" s="58" t="s">
        <v>622</v>
      </c>
      <c r="J3" s="58" t="s">
        <v>51</v>
      </c>
      <c r="K3" s="59" t="s">
        <v>622</v>
      </c>
      <c r="L3" s="12"/>
      <c r="M3" s="12"/>
    </row>
    <row r="4" spans="1:13" x14ac:dyDescent="0.25">
      <c r="A4" s="72" t="str">
        <f>C4</f>
        <v>Insert Your Pet's Name Here</v>
      </c>
      <c r="B4" s="21" t="s">
        <v>779</v>
      </c>
      <c r="C4" s="23" t="s">
        <v>1232</v>
      </c>
      <c r="D4" s="11"/>
      <c r="E4" s="87"/>
      <c r="F4" s="88"/>
      <c r="G4" s="11"/>
      <c r="H4" s="11"/>
      <c r="I4" s="11"/>
      <c r="J4" s="11"/>
      <c r="K4" s="38"/>
      <c r="L4" s="12"/>
      <c r="M4" s="12"/>
    </row>
    <row r="5" spans="1:13" x14ac:dyDescent="0.25">
      <c r="A5" s="72">
        <f t="shared" ref="A5:A13" si="0">C5</f>
        <v>0</v>
      </c>
      <c r="B5" s="21" t="s">
        <v>780</v>
      </c>
      <c r="C5" s="23"/>
      <c r="D5" s="11"/>
      <c r="E5" s="87"/>
      <c r="F5" s="88"/>
      <c r="G5" s="11"/>
      <c r="H5" s="11"/>
      <c r="I5" s="11"/>
      <c r="J5" s="11"/>
      <c r="K5" s="38"/>
      <c r="L5" s="12"/>
      <c r="M5" s="12"/>
    </row>
    <row r="6" spans="1:13" x14ac:dyDescent="0.25">
      <c r="A6" s="72">
        <f t="shared" si="0"/>
        <v>0</v>
      </c>
      <c r="B6" s="21" t="s">
        <v>781</v>
      </c>
      <c r="C6" s="23"/>
      <c r="D6" s="11"/>
      <c r="E6" s="87"/>
      <c r="F6" s="88"/>
      <c r="G6" s="11"/>
      <c r="H6" s="11"/>
      <c r="I6" s="11"/>
      <c r="J6" s="11"/>
      <c r="K6" s="38"/>
      <c r="L6" s="12"/>
      <c r="M6" s="12"/>
    </row>
    <row r="7" spans="1:13" x14ac:dyDescent="0.25">
      <c r="A7" s="72">
        <f t="shared" si="0"/>
        <v>0</v>
      </c>
      <c r="B7" s="21" t="s">
        <v>782</v>
      </c>
      <c r="C7" s="23"/>
      <c r="D7" s="11"/>
      <c r="E7" s="87"/>
      <c r="F7" s="88"/>
      <c r="G7" s="11"/>
      <c r="H7" s="11"/>
      <c r="I7" s="11"/>
      <c r="J7" s="11"/>
      <c r="K7" s="38"/>
      <c r="L7" s="12"/>
      <c r="M7" s="12"/>
    </row>
    <row r="8" spans="1:13" x14ac:dyDescent="0.25">
      <c r="A8" s="72">
        <f t="shared" si="0"/>
        <v>0</v>
      </c>
      <c r="B8" s="21" t="s">
        <v>783</v>
      </c>
      <c r="C8" s="23"/>
      <c r="D8" s="11"/>
      <c r="E8" s="87"/>
      <c r="F8" s="88"/>
      <c r="G8" s="11"/>
      <c r="H8" s="11"/>
      <c r="I8" s="11"/>
      <c r="J8" s="11"/>
      <c r="K8" s="38"/>
      <c r="L8" s="12"/>
      <c r="M8" s="12"/>
    </row>
    <row r="9" spans="1:13" x14ac:dyDescent="0.25">
      <c r="A9" s="72">
        <f t="shared" si="0"/>
        <v>0</v>
      </c>
      <c r="B9" s="21" t="s">
        <v>784</v>
      </c>
      <c r="C9" s="23"/>
      <c r="D9" s="11"/>
      <c r="E9" s="87"/>
      <c r="F9" s="88"/>
      <c r="G9" s="11"/>
      <c r="H9" s="11"/>
      <c r="I9" s="11"/>
      <c r="J9" s="11"/>
      <c r="K9" s="38"/>
      <c r="L9" s="12"/>
      <c r="M9" s="12"/>
    </row>
    <row r="10" spans="1:13" x14ac:dyDescent="0.25">
      <c r="A10" s="72">
        <f t="shared" si="0"/>
        <v>0</v>
      </c>
      <c r="B10" s="21" t="s">
        <v>785</v>
      </c>
      <c r="C10" s="23"/>
      <c r="D10" s="11"/>
      <c r="E10" s="87"/>
      <c r="F10" s="88"/>
      <c r="G10" s="11"/>
      <c r="H10" s="11"/>
      <c r="I10" s="11"/>
      <c r="J10" s="11"/>
      <c r="K10" s="38"/>
      <c r="L10" s="12"/>
      <c r="M10" s="12"/>
    </row>
    <row r="11" spans="1:13" x14ac:dyDescent="0.25">
      <c r="A11" s="72">
        <f t="shared" si="0"/>
        <v>0</v>
      </c>
      <c r="B11" s="21" t="s">
        <v>786</v>
      </c>
      <c r="C11" s="23"/>
      <c r="D11" s="11"/>
      <c r="E11" s="87"/>
      <c r="F11" s="88"/>
      <c r="G11" s="11"/>
      <c r="H11" s="11"/>
      <c r="I11" s="11"/>
      <c r="J11" s="11"/>
      <c r="K11" s="38"/>
      <c r="L11" s="12"/>
      <c r="M11" s="12"/>
    </row>
    <row r="12" spans="1:13" x14ac:dyDescent="0.25">
      <c r="A12" s="72">
        <f t="shared" si="0"/>
        <v>0</v>
      </c>
      <c r="B12" s="21" t="s">
        <v>865</v>
      </c>
      <c r="C12" s="23"/>
      <c r="D12" s="11"/>
      <c r="E12" s="87"/>
      <c r="F12" s="88"/>
      <c r="G12" s="11"/>
      <c r="H12" s="11"/>
      <c r="I12" s="11"/>
      <c r="J12" s="11"/>
      <c r="K12" s="38"/>
      <c r="L12" s="12"/>
      <c r="M12" s="12"/>
    </row>
    <row r="13" spans="1:13" ht="15.75" thickBot="1" x14ac:dyDescent="0.3">
      <c r="A13" s="72">
        <f t="shared" si="0"/>
        <v>0</v>
      </c>
      <c r="B13" s="22" t="s">
        <v>866</v>
      </c>
      <c r="C13" s="24"/>
      <c r="D13" s="26"/>
      <c r="E13" s="94"/>
      <c r="F13" s="91"/>
      <c r="G13" s="26"/>
      <c r="H13" s="26"/>
      <c r="I13" s="26"/>
      <c r="J13" s="26"/>
      <c r="K13" s="39"/>
      <c r="L13" s="12"/>
      <c r="M13" s="12"/>
    </row>
    <row r="14" spans="1:13" ht="15.75" thickBot="1" x14ac:dyDescent="0.3">
      <c r="A14" s="12"/>
      <c r="B14" s="12"/>
      <c r="C14" s="12"/>
      <c r="D14" s="12"/>
      <c r="E14" s="93">
        <f t="shared" ref="E14:J14" si="1">IF(IFERROR(FIND("Minus",E$15,1),0)&gt;0,-1,1)*IF(IFERROR(FIND("D",E$15,1),0)&gt;0,3,IF(IFERROR(FIND("2",E$15,1),0)&gt;0,2,1))</f>
        <v>3</v>
      </c>
      <c r="F14" s="93">
        <f t="shared" si="1"/>
        <v>3</v>
      </c>
      <c r="G14" s="93">
        <f t="shared" si="1"/>
        <v>3</v>
      </c>
      <c r="H14" s="93">
        <f t="shared" si="1"/>
        <v>-3</v>
      </c>
      <c r="I14" s="93">
        <f t="shared" si="1"/>
        <v>2</v>
      </c>
      <c r="J14" s="93">
        <f t="shared" si="1"/>
        <v>-2</v>
      </c>
      <c r="K14" s="12"/>
      <c r="L14" s="12"/>
      <c r="M14" s="12"/>
    </row>
    <row r="15" spans="1:13" ht="15.75" thickBot="1" x14ac:dyDescent="0.3">
      <c r="A15" s="12"/>
      <c r="B15" s="242" t="s">
        <v>870</v>
      </c>
      <c r="C15" s="243"/>
      <c r="D15" s="244"/>
      <c r="E15" s="89" t="s">
        <v>460</v>
      </c>
      <c r="F15" s="89" t="s">
        <v>460</v>
      </c>
      <c r="G15" s="89" t="s">
        <v>460</v>
      </c>
      <c r="H15" s="89" t="s">
        <v>581</v>
      </c>
      <c r="I15" s="89" t="s">
        <v>872</v>
      </c>
      <c r="J15" s="89" t="s">
        <v>873</v>
      </c>
      <c r="K15" s="245" t="s">
        <v>880</v>
      </c>
      <c r="L15" s="246"/>
      <c r="M15" s="12"/>
    </row>
    <row r="16" spans="1:13" x14ac:dyDescent="0.25">
      <c r="A16" s="12"/>
      <c r="B16" s="85"/>
      <c r="C16" s="84" t="s">
        <v>881</v>
      </c>
      <c r="D16" s="84" t="s">
        <v>0</v>
      </c>
      <c r="E16" s="69" t="s">
        <v>874</v>
      </c>
      <c r="F16" s="69" t="s">
        <v>875</v>
      </c>
      <c r="G16" s="69" t="s">
        <v>876</v>
      </c>
      <c r="H16" s="69" t="s">
        <v>877</v>
      </c>
      <c r="I16" s="69" t="s">
        <v>878</v>
      </c>
      <c r="J16" s="69" t="s">
        <v>879</v>
      </c>
      <c r="K16" s="84" t="s">
        <v>375</v>
      </c>
      <c r="L16" s="86" t="s">
        <v>869</v>
      </c>
      <c r="M16" s="12"/>
    </row>
    <row r="17" spans="1:13" x14ac:dyDescent="0.25">
      <c r="A17" s="12"/>
      <c r="B17" s="21" t="s">
        <v>626</v>
      </c>
      <c r="C17" s="23"/>
      <c r="D17" s="23"/>
      <c r="E17" s="11"/>
      <c r="F17" s="11"/>
      <c r="G17" s="11"/>
      <c r="H17" s="11"/>
      <c r="I17" s="11"/>
      <c r="J17" s="11"/>
      <c r="K17" s="13"/>
      <c r="L17" s="38"/>
      <c r="M17" s="12"/>
    </row>
    <row r="18" spans="1:13" x14ac:dyDescent="0.25">
      <c r="A18" s="12"/>
      <c r="B18" s="21" t="s">
        <v>627</v>
      </c>
      <c r="C18" s="23"/>
      <c r="D18" s="23"/>
      <c r="E18" s="11"/>
      <c r="F18" s="11"/>
      <c r="G18" s="11"/>
      <c r="H18" s="11"/>
      <c r="I18" s="11"/>
      <c r="J18" s="11"/>
      <c r="K18" s="13"/>
      <c r="L18" s="38"/>
      <c r="M18" s="12"/>
    </row>
    <row r="19" spans="1:13" x14ac:dyDescent="0.25">
      <c r="A19" s="12"/>
      <c r="B19" s="21" t="s">
        <v>628</v>
      </c>
      <c r="C19" s="23"/>
      <c r="D19" s="23"/>
      <c r="E19" s="11"/>
      <c r="F19" s="11"/>
      <c r="G19" s="11"/>
      <c r="H19" s="11"/>
      <c r="I19" s="11"/>
      <c r="J19" s="11"/>
      <c r="K19" s="13"/>
      <c r="L19" s="38"/>
      <c r="M19" s="12"/>
    </row>
    <row r="20" spans="1:13" x14ac:dyDescent="0.25">
      <c r="A20" s="12"/>
      <c r="B20" s="21" t="s">
        <v>629</v>
      </c>
      <c r="C20" s="23"/>
      <c r="D20" s="23"/>
      <c r="E20" s="11"/>
      <c r="F20" s="11"/>
      <c r="G20" s="11"/>
      <c r="H20" s="11"/>
      <c r="I20" s="11"/>
      <c r="J20" s="11"/>
      <c r="K20" s="13"/>
      <c r="L20" s="38"/>
      <c r="M20" s="12"/>
    </row>
    <row r="21" spans="1:13" x14ac:dyDescent="0.25">
      <c r="A21" s="12"/>
      <c r="B21" s="21" t="s">
        <v>630</v>
      </c>
      <c r="C21" s="23"/>
      <c r="D21" s="23"/>
      <c r="E21" s="11"/>
      <c r="F21" s="11"/>
      <c r="G21" s="11"/>
      <c r="H21" s="11"/>
      <c r="I21" s="11"/>
      <c r="J21" s="11"/>
      <c r="K21" s="13"/>
      <c r="L21" s="38"/>
      <c r="M21" s="12"/>
    </row>
    <row r="22" spans="1:13" x14ac:dyDescent="0.25">
      <c r="A22" s="12"/>
      <c r="B22" s="21" t="s">
        <v>740</v>
      </c>
      <c r="C22" s="23"/>
      <c r="D22" s="23"/>
      <c r="E22" s="11"/>
      <c r="F22" s="11"/>
      <c r="G22" s="11"/>
      <c r="H22" s="11"/>
      <c r="I22" s="11"/>
      <c r="J22" s="11"/>
      <c r="K22" s="13"/>
      <c r="L22" s="38"/>
      <c r="M22" s="12"/>
    </row>
    <row r="23" spans="1:13" x14ac:dyDescent="0.25">
      <c r="A23" s="12"/>
      <c r="B23" s="21" t="s">
        <v>741</v>
      </c>
      <c r="C23" s="23"/>
      <c r="D23" s="23"/>
      <c r="E23" s="11"/>
      <c r="F23" s="11"/>
      <c r="G23" s="11"/>
      <c r="H23" s="11"/>
      <c r="I23" s="11"/>
      <c r="J23" s="11"/>
      <c r="K23" s="13"/>
      <c r="L23" s="38"/>
      <c r="M23" s="12"/>
    </row>
    <row r="24" spans="1:13" x14ac:dyDescent="0.25">
      <c r="A24" s="12"/>
      <c r="B24" s="21" t="s">
        <v>742</v>
      </c>
      <c r="C24" s="23"/>
      <c r="D24" s="23"/>
      <c r="E24" s="11"/>
      <c r="F24" s="11"/>
      <c r="G24" s="11"/>
      <c r="H24" s="11"/>
      <c r="I24" s="11"/>
      <c r="J24" s="11"/>
      <c r="K24" s="13"/>
      <c r="L24" s="38"/>
      <c r="M24" s="12"/>
    </row>
    <row r="25" spans="1:13" x14ac:dyDescent="0.25">
      <c r="A25" s="12"/>
      <c r="B25" s="21" t="s">
        <v>743</v>
      </c>
      <c r="C25" s="23"/>
      <c r="D25" s="23"/>
      <c r="E25" s="11"/>
      <c r="F25" s="11"/>
      <c r="G25" s="11"/>
      <c r="H25" s="11"/>
      <c r="I25" s="11"/>
      <c r="J25" s="11"/>
      <c r="K25" s="13"/>
      <c r="L25" s="38"/>
      <c r="M25" s="12"/>
    </row>
    <row r="26" spans="1:13" ht="15.75" thickBot="1" x14ac:dyDescent="0.3">
      <c r="A26" s="12"/>
      <c r="B26" s="22" t="s">
        <v>744</v>
      </c>
      <c r="C26" s="24"/>
      <c r="D26" s="24"/>
      <c r="E26" s="26"/>
      <c r="F26" s="26"/>
      <c r="G26" s="26"/>
      <c r="H26" s="26"/>
      <c r="I26" s="26"/>
      <c r="J26" s="26"/>
      <c r="K26" s="66"/>
      <c r="L26" s="39"/>
      <c r="M26" s="12"/>
    </row>
    <row r="27" spans="1:13" x14ac:dyDescent="0.25">
      <c r="A27" s="12"/>
      <c r="B27" s="12"/>
      <c r="C27" s="12"/>
      <c r="D27" s="12"/>
      <c r="E27" s="12"/>
      <c r="F27" s="12"/>
      <c r="G27" s="12"/>
      <c r="H27" s="12"/>
      <c r="I27" s="12"/>
      <c r="J27" s="12"/>
      <c r="K27" s="12"/>
      <c r="L27" s="12"/>
      <c r="M27" s="12"/>
    </row>
    <row r="28" spans="1:13" x14ac:dyDescent="0.25">
      <c r="A28" s="12"/>
      <c r="B28" s="12"/>
      <c r="C28" s="12"/>
      <c r="D28" s="12"/>
      <c r="E28" s="12"/>
      <c r="F28" s="12"/>
      <c r="G28" s="12"/>
      <c r="H28" s="12"/>
      <c r="I28" s="12"/>
      <c r="J28" s="12"/>
      <c r="K28" s="12"/>
      <c r="L28" s="12"/>
      <c r="M28" s="12"/>
    </row>
    <row r="29" spans="1:13" x14ac:dyDescent="0.25">
      <c r="A29" s="12"/>
      <c r="B29" s="12"/>
      <c r="C29" s="12"/>
      <c r="D29" s="12"/>
      <c r="E29" s="12"/>
      <c r="F29" s="12"/>
      <c r="G29" s="12"/>
      <c r="H29" s="12"/>
      <c r="I29" s="12"/>
      <c r="J29" s="12"/>
      <c r="K29" s="12"/>
      <c r="L29" s="12"/>
      <c r="M29" s="12"/>
    </row>
    <row r="30" spans="1:13" x14ac:dyDescent="0.25">
      <c r="A30" s="12"/>
      <c r="B30" s="12"/>
      <c r="C30" s="12"/>
      <c r="D30" s="12"/>
      <c r="E30" s="12"/>
      <c r="F30" s="12"/>
      <c r="G30" s="12"/>
      <c r="H30" s="12"/>
      <c r="I30" s="12"/>
      <c r="J30" s="12"/>
      <c r="K30" s="12"/>
      <c r="L30" s="12"/>
      <c r="M30" s="12"/>
    </row>
    <row r="31" spans="1:13" x14ac:dyDescent="0.25">
      <c r="A31" s="12"/>
      <c r="B31" s="12"/>
      <c r="C31" s="12"/>
      <c r="D31" s="12"/>
      <c r="E31" s="12"/>
      <c r="F31" s="12"/>
      <c r="G31" s="12"/>
      <c r="H31" s="12"/>
      <c r="I31" s="12"/>
      <c r="J31" s="12"/>
      <c r="K31" s="12"/>
      <c r="L31" s="12"/>
      <c r="M31" s="12"/>
    </row>
    <row r="32" spans="1:13" x14ac:dyDescent="0.25">
      <c r="A32" s="12"/>
      <c r="B32" s="12"/>
      <c r="C32" s="12"/>
      <c r="D32" s="12"/>
      <c r="E32" s="12"/>
      <c r="F32" s="12"/>
      <c r="G32" s="12"/>
      <c r="H32" s="12"/>
      <c r="I32" s="12"/>
      <c r="J32" s="12"/>
      <c r="K32" s="12"/>
      <c r="L32" s="12"/>
      <c r="M32" s="12"/>
    </row>
    <row r="33" spans="1:13" x14ac:dyDescent="0.25">
      <c r="A33" s="12"/>
      <c r="B33" s="12"/>
      <c r="C33" s="12"/>
      <c r="D33" s="12"/>
      <c r="E33" s="12"/>
      <c r="F33" s="12"/>
      <c r="G33" s="12"/>
      <c r="H33" s="12"/>
      <c r="I33" s="12"/>
      <c r="J33" s="12"/>
      <c r="K33" s="12"/>
      <c r="L33" s="12"/>
      <c r="M33" s="12"/>
    </row>
    <row r="34" spans="1:13" x14ac:dyDescent="0.25">
      <c r="A34" s="12"/>
      <c r="B34" s="12"/>
      <c r="C34" s="12"/>
      <c r="D34" s="12"/>
      <c r="E34" s="12"/>
      <c r="F34" s="12"/>
      <c r="G34" s="12"/>
      <c r="H34" s="12"/>
      <c r="I34" s="12"/>
      <c r="J34" s="12"/>
      <c r="K34" s="12"/>
      <c r="L34" s="12"/>
      <c r="M34" s="12"/>
    </row>
    <row r="89" ht="15.75" customHeight="1" x14ac:dyDescent="0.25"/>
    <row r="112" spans="2:2" x14ac:dyDescent="0.25">
      <c r="B112" t="s">
        <v>351</v>
      </c>
    </row>
    <row r="113" spans="2:2" x14ac:dyDescent="0.25">
      <c r="B113" t="s">
        <v>444</v>
      </c>
    </row>
    <row r="114" spans="2:2" x14ac:dyDescent="0.25">
      <c r="B114" t="s">
        <v>53</v>
      </c>
    </row>
    <row r="115" spans="2:2" x14ac:dyDescent="0.25">
      <c r="B115" t="s">
        <v>502</v>
      </c>
    </row>
    <row r="116" spans="2:2" x14ac:dyDescent="0.25">
      <c r="B116" t="s">
        <v>354</v>
      </c>
    </row>
    <row r="117" spans="2:2" x14ac:dyDescent="0.25">
      <c r="B117" t="s">
        <v>501</v>
      </c>
    </row>
    <row r="118" spans="2:2" x14ac:dyDescent="0.25">
      <c r="B118" t="s">
        <v>563</v>
      </c>
    </row>
    <row r="119" spans="2:2" x14ac:dyDescent="0.25">
      <c r="B119" t="s">
        <v>46</v>
      </c>
    </row>
    <row r="120" spans="2:2" x14ac:dyDescent="0.25">
      <c r="B120" t="s">
        <v>574</v>
      </c>
    </row>
    <row r="121" spans="2:2" x14ac:dyDescent="0.25">
      <c r="B121" t="s">
        <v>61</v>
      </c>
    </row>
    <row r="122" spans="2:2" x14ac:dyDescent="0.25">
      <c r="B122" t="s">
        <v>346</v>
      </c>
    </row>
    <row r="123" spans="2:2" x14ac:dyDescent="0.25">
      <c r="B123" t="s">
        <v>352</v>
      </c>
    </row>
    <row r="124" spans="2:2" x14ac:dyDescent="0.25">
      <c r="B124" t="s">
        <v>355</v>
      </c>
    </row>
    <row r="125" spans="2:2" x14ac:dyDescent="0.25">
      <c r="B125" t="s">
        <v>246</v>
      </c>
    </row>
    <row r="126" spans="2:2" x14ac:dyDescent="0.25">
      <c r="B126" t="s">
        <v>348</v>
      </c>
    </row>
    <row r="223" spans="1:1" x14ac:dyDescent="0.25">
      <c r="A223" t="s">
        <v>580</v>
      </c>
    </row>
    <row r="227" spans="1:1" x14ac:dyDescent="0.25">
      <c r="A227" t="s">
        <v>580</v>
      </c>
    </row>
    <row r="230" spans="1:1" x14ac:dyDescent="0.25">
      <c r="A230" t="s">
        <v>580</v>
      </c>
    </row>
    <row r="234" spans="1:1" x14ac:dyDescent="0.25">
      <c r="A234" t="s">
        <v>580</v>
      </c>
    </row>
    <row r="250" spans="1:1" x14ac:dyDescent="0.25">
      <c r="A250" t="s">
        <v>580</v>
      </c>
    </row>
    <row r="257" spans="1:1" x14ac:dyDescent="0.25">
      <c r="A257" t="s">
        <v>580</v>
      </c>
    </row>
    <row r="271" spans="1:1" x14ac:dyDescent="0.25">
      <c r="A271" t="s">
        <v>580</v>
      </c>
    </row>
    <row r="272" spans="1:1" x14ac:dyDescent="0.25">
      <c r="A272" t="s">
        <v>580</v>
      </c>
    </row>
    <row r="273" spans="1:1" x14ac:dyDescent="0.25">
      <c r="A273" t="s">
        <v>580</v>
      </c>
    </row>
    <row r="278" spans="1:1" x14ac:dyDescent="0.25">
      <c r="A278" t="s">
        <v>580</v>
      </c>
    </row>
    <row r="281" spans="1:1" x14ac:dyDescent="0.25">
      <c r="A281" t="s">
        <v>580</v>
      </c>
    </row>
    <row r="286" spans="1:1" x14ac:dyDescent="0.25">
      <c r="A286" t="s">
        <v>580</v>
      </c>
    </row>
    <row r="290" spans="1:1" x14ac:dyDescent="0.25">
      <c r="A290" t="s">
        <v>580</v>
      </c>
    </row>
    <row r="295" spans="1:1" x14ac:dyDescent="0.25">
      <c r="A295" t="s">
        <v>580</v>
      </c>
    </row>
    <row r="296" spans="1:1" x14ac:dyDescent="0.25">
      <c r="A296" t="s">
        <v>580</v>
      </c>
    </row>
  </sheetData>
  <mergeCells count="4">
    <mergeCell ref="B15:D15"/>
    <mergeCell ref="K15:L15"/>
    <mergeCell ref="B2:E2"/>
    <mergeCell ref="F2:K2"/>
  </mergeCells>
  <dataValidations count="3">
    <dataValidation type="list" allowBlank="1" showInputMessage="1" showErrorMessage="1" sqref="E15:J15">
      <formula1>"Full D,Plus 2,Plus 1,Minus Full D,Minus 2,Minus 1"</formula1>
    </dataValidation>
    <dataValidation type="list" allowBlank="1" showInputMessage="1" showErrorMessage="1" sqref="E17:J26 E4:E13 K4:K13 I4:I13 G4:G13">
      <formula1>#REF!</formula1>
    </dataValidation>
    <dataValidation type="list" allowBlank="1" showInputMessage="1" showErrorMessage="1" sqref="L17:L26">
      <formula1>$A$3:$A$13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Lookups!$AG$29</xm:f>
          </x14:formula1>
          <xm:sqref>J4:J13</xm:sqref>
        </x14:dataValidation>
        <x14:dataValidation type="list" allowBlank="1" showInputMessage="1" showErrorMessage="1">
          <x14:formula1>
            <xm:f>Lookups!$AG$27:$AG$27</xm:f>
          </x14:formula1>
          <xm:sqref>F4:F13</xm:sqref>
        </x14:dataValidation>
        <x14:dataValidation type="list" allowBlank="1" showInputMessage="1" showErrorMessage="1">
          <x14:formula1>
            <xm:f>Lookups!$AG$28:$AG$28</xm:f>
          </x14:formula1>
          <xm:sqref>H4:H13</xm:sqref>
        </x14:dataValidation>
        <x14:dataValidation type="list" allowBlank="1" showInputMessage="1" showErrorMessage="1">
          <x14:formula1>
            <xm:f>Lookups!$AG$2:$AG$25</xm:f>
          </x14:formula1>
          <xm:sqref>D4:D13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ES4"/>
  <sheetViews>
    <sheetView zoomScale="70" zoomScaleNormal="70" workbookViewId="0">
      <pane xSplit="1" ySplit="2" topLeftCell="N3" activePane="bottomRight" state="frozen"/>
      <selection pane="topRight" activeCell="B1" sqref="B1"/>
      <selection pane="bottomLeft" activeCell="A4" sqref="A4"/>
      <selection pane="bottomRight" activeCell="EG1" sqref="EG1"/>
    </sheetView>
  </sheetViews>
  <sheetFormatPr defaultRowHeight="15" outlineLevelCol="1" x14ac:dyDescent="0.25"/>
  <cols>
    <col min="1" max="1" width="12.5703125" bestFit="1" customWidth="1"/>
    <col min="2" max="4" width="27.7109375" hidden="1" customWidth="1" outlineLevel="1"/>
    <col min="5" max="5" width="27.7109375" hidden="1" customWidth="1" outlineLevel="1" collapsed="1"/>
    <col min="6" max="10" width="27.7109375" hidden="1" customWidth="1" outlineLevel="1"/>
    <col min="11" max="11" width="27.7109375" hidden="1" customWidth="1" outlineLevel="1" collapsed="1"/>
    <col min="12" max="13" width="27.7109375" hidden="1" customWidth="1" outlineLevel="1"/>
    <col min="14" max="14" width="10.7109375" customWidth="1" collapsed="1"/>
    <col min="15" max="15" width="27.7109375" hidden="1" customWidth="1" outlineLevel="1" collapsed="1"/>
    <col min="16" max="19" width="27.7109375" hidden="1" customWidth="1" outlineLevel="1"/>
    <col min="20" max="20" width="27.7109375" hidden="1" customWidth="1" outlineLevel="1" collapsed="1"/>
    <col min="21" max="24" width="27.7109375" hidden="1" customWidth="1" outlineLevel="1"/>
    <col min="25" max="25" width="27.7109375" hidden="1" customWidth="1" outlineLevel="1" collapsed="1"/>
    <col min="26" max="26" width="27.7109375" hidden="1" customWidth="1" outlineLevel="1"/>
    <col min="27" max="27" width="10.7109375" customWidth="1" collapsed="1"/>
    <col min="28" max="39" width="27.7109375" hidden="1" customWidth="1" outlineLevel="1"/>
    <col min="40" max="40" width="10.7109375" customWidth="1" collapsed="1"/>
    <col min="41" max="52" width="27.7109375" hidden="1" customWidth="1" outlineLevel="1"/>
    <col min="53" max="53" width="10.7109375" customWidth="1" collapsed="1"/>
    <col min="54" max="72" width="27.7109375" hidden="1" customWidth="1" outlineLevel="1"/>
    <col min="73" max="73" width="10.7109375" customWidth="1" collapsed="1"/>
    <col min="74" max="85" width="27.7109375" hidden="1" customWidth="1" outlineLevel="1"/>
    <col min="86" max="86" width="10.7109375" customWidth="1" collapsed="1"/>
    <col min="87" max="98" width="27.7109375" hidden="1" customWidth="1" outlineLevel="1"/>
    <col min="99" max="99" width="10.7109375" customWidth="1" collapsed="1"/>
    <col min="100" max="111" width="27.7109375" hidden="1" customWidth="1" outlineLevel="1"/>
    <col min="112" max="112" width="10.7109375" customWidth="1" collapsed="1"/>
    <col min="113" max="122" width="27.7109375" hidden="1" customWidth="1" outlineLevel="1"/>
    <col min="123" max="123" width="10.7109375" customWidth="1" collapsed="1"/>
    <col min="124" max="135" width="27.7109375" hidden="1" customWidth="1" outlineLevel="1"/>
    <col min="136" max="136" width="9.140625" collapsed="1"/>
    <col min="137" max="148" width="27.7109375" hidden="1" customWidth="1" outlineLevel="1"/>
    <col min="149" max="149" width="10.7109375" customWidth="1" collapsed="1"/>
  </cols>
  <sheetData>
    <row r="1" spans="1:149" ht="31.5" x14ac:dyDescent="0.25">
      <c r="A1" s="9" t="s">
        <v>144</v>
      </c>
      <c r="B1" s="5" t="s">
        <v>146</v>
      </c>
      <c r="C1" s="5" t="s">
        <v>683</v>
      </c>
      <c r="D1" s="5" t="s">
        <v>147</v>
      </c>
      <c r="E1" s="5" t="s">
        <v>148</v>
      </c>
      <c r="F1" s="5" t="s">
        <v>149</v>
      </c>
      <c r="G1" s="5" t="s">
        <v>150</v>
      </c>
      <c r="H1" s="5" t="s">
        <v>151</v>
      </c>
      <c r="I1" s="5" t="s">
        <v>152</v>
      </c>
      <c r="J1" s="5" t="s">
        <v>154</v>
      </c>
      <c r="K1" s="5" t="s">
        <v>153</v>
      </c>
      <c r="L1" s="5" t="s">
        <v>156</v>
      </c>
      <c r="M1" s="5" t="s">
        <v>155</v>
      </c>
      <c r="N1" s="31" t="s">
        <v>145</v>
      </c>
      <c r="O1" s="5" t="s">
        <v>163</v>
      </c>
      <c r="P1" s="5" t="s">
        <v>164</v>
      </c>
      <c r="Q1" s="5" t="s">
        <v>165</v>
      </c>
      <c r="R1" s="5" t="s">
        <v>166</v>
      </c>
      <c r="S1" s="5" t="s">
        <v>167</v>
      </c>
      <c r="T1" s="5" t="s">
        <v>168</v>
      </c>
      <c r="U1" s="5" t="s">
        <v>169</v>
      </c>
      <c r="V1" s="5" t="s">
        <v>170</v>
      </c>
      <c r="W1" s="5" t="s">
        <v>171</v>
      </c>
      <c r="X1" s="5" t="s">
        <v>489</v>
      </c>
      <c r="Y1" s="5" t="s">
        <v>172</v>
      </c>
      <c r="Z1" s="5" t="s">
        <v>173</v>
      </c>
      <c r="AA1" s="53" t="s">
        <v>157</v>
      </c>
      <c r="AB1" s="5" t="s">
        <v>174</v>
      </c>
      <c r="AC1" s="5" t="s">
        <v>175</v>
      </c>
      <c r="AD1" s="5" t="s">
        <v>176</v>
      </c>
      <c r="AE1" s="5" t="s">
        <v>177</v>
      </c>
      <c r="AF1" s="5" t="s">
        <v>178</v>
      </c>
      <c r="AG1" s="5" t="s">
        <v>179</v>
      </c>
      <c r="AH1" s="5" t="s">
        <v>181</v>
      </c>
      <c r="AI1" s="5" t="s">
        <v>180</v>
      </c>
      <c r="AJ1" s="5" t="s">
        <v>182</v>
      </c>
      <c r="AK1" s="5" t="s">
        <v>183</v>
      </c>
      <c r="AL1" s="5" t="s">
        <v>184</v>
      </c>
      <c r="AM1" s="5" t="s">
        <v>185</v>
      </c>
      <c r="AN1" s="32" t="s">
        <v>158</v>
      </c>
      <c r="AO1" s="5" t="s">
        <v>186</v>
      </c>
      <c r="AP1" s="5" t="s">
        <v>187</v>
      </c>
      <c r="AQ1" s="5" t="s">
        <v>188</v>
      </c>
      <c r="AR1" s="5" t="s">
        <v>189</v>
      </c>
      <c r="AS1" s="5" t="s">
        <v>190</v>
      </c>
      <c r="AT1" s="5" t="s">
        <v>191</v>
      </c>
      <c r="AU1" s="5" t="s">
        <v>192</v>
      </c>
      <c r="AV1" s="5" t="s">
        <v>193</v>
      </c>
      <c r="AW1" s="5" t="s">
        <v>195</v>
      </c>
      <c r="AX1" s="5" t="s">
        <v>490</v>
      </c>
      <c r="AY1" s="5" t="s">
        <v>194</v>
      </c>
      <c r="AZ1" s="5" t="s">
        <v>197</v>
      </c>
      <c r="BA1" s="33" t="s">
        <v>159</v>
      </c>
      <c r="BB1" s="5" t="s">
        <v>198</v>
      </c>
      <c r="BC1" s="5" t="s">
        <v>199</v>
      </c>
      <c r="BD1" s="5" t="s">
        <v>200</v>
      </c>
      <c r="BE1" s="5" t="s">
        <v>201</v>
      </c>
      <c r="BF1" s="5" t="s">
        <v>202</v>
      </c>
      <c r="BG1" s="5" t="s">
        <v>203</v>
      </c>
      <c r="BH1" s="5" t="s">
        <v>205</v>
      </c>
      <c r="BI1" s="5" t="s">
        <v>684</v>
      </c>
      <c r="BJ1" s="5" t="s">
        <v>685</v>
      </c>
      <c r="BK1" s="5" t="s">
        <v>686</v>
      </c>
      <c r="BL1" s="5" t="s">
        <v>687</v>
      </c>
      <c r="BM1" s="5" t="s">
        <v>688</v>
      </c>
      <c r="BN1" s="5" t="s">
        <v>204</v>
      </c>
      <c r="BO1" s="5" t="s">
        <v>689</v>
      </c>
      <c r="BP1" s="5" t="s">
        <v>491</v>
      </c>
      <c r="BQ1" s="5" t="s">
        <v>690</v>
      </c>
      <c r="BR1" s="5" t="s">
        <v>691</v>
      </c>
      <c r="BS1" s="5" t="s">
        <v>692</v>
      </c>
      <c r="BT1" s="5" t="s">
        <v>693</v>
      </c>
      <c r="BU1" s="34" t="s">
        <v>160</v>
      </c>
      <c r="BV1" s="5" t="s">
        <v>206</v>
      </c>
      <c r="BW1" s="5" t="s">
        <v>207</v>
      </c>
      <c r="BX1" s="5" t="s">
        <v>208</v>
      </c>
      <c r="BY1" s="5" t="s">
        <v>209</v>
      </c>
      <c r="BZ1" s="5" t="s">
        <v>211</v>
      </c>
      <c r="CA1" s="5" t="s">
        <v>210</v>
      </c>
      <c r="CB1" s="5" t="s">
        <v>694</v>
      </c>
      <c r="CC1" s="5" t="s">
        <v>212</v>
      </c>
      <c r="CD1" s="5" t="s">
        <v>695</v>
      </c>
      <c r="CE1" s="5" t="s">
        <v>863</v>
      </c>
      <c r="CF1" s="5" t="s">
        <v>214</v>
      </c>
      <c r="CG1" s="5" t="s">
        <v>215</v>
      </c>
      <c r="CH1" s="35" t="s">
        <v>162</v>
      </c>
      <c r="CI1" s="5" t="s">
        <v>216</v>
      </c>
      <c r="CJ1" s="5" t="s">
        <v>217</v>
      </c>
      <c r="CK1" s="5" t="s">
        <v>218</v>
      </c>
      <c r="CL1" s="5" t="s">
        <v>219</v>
      </c>
      <c r="CM1" s="5" t="s">
        <v>220</v>
      </c>
      <c r="CN1" s="5" t="s">
        <v>584</v>
      </c>
      <c r="CO1" s="5" t="s">
        <v>221</v>
      </c>
      <c r="CP1" s="5" t="s">
        <v>585</v>
      </c>
      <c r="CQ1" s="5" t="s">
        <v>222</v>
      </c>
      <c r="CR1" s="5" t="s">
        <v>223</v>
      </c>
      <c r="CS1" s="5" t="s">
        <v>586</v>
      </c>
      <c r="CT1" s="5" t="s">
        <v>224</v>
      </c>
      <c r="CU1" s="9" t="s">
        <v>161</v>
      </c>
      <c r="CV1" s="5" t="s">
        <v>308</v>
      </c>
      <c r="CW1" s="5" t="s">
        <v>309</v>
      </c>
      <c r="CX1" s="5" t="s">
        <v>310</v>
      </c>
      <c r="CY1" s="5" t="s">
        <v>311</v>
      </c>
      <c r="CZ1" s="5" t="s">
        <v>312</v>
      </c>
      <c r="DA1" s="5" t="s">
        <v>364</v>
      </c>
      <c r="DB1" s="5" t="s">
        <v>314</v>
      </c>
      <c r="DC1" s="5" t="s">
        <v>313</v>
      </c>
      <c r="DD1" s="5" t="s">
        <v>696</v>
      </c>
      <c r="DE1" s="5" t="s">
        <v>316</v>
      </c>
      <c r="DF1" s="5" t="s">
        <v>315</v>
      </c>
      <c r="DG1" s="5" t="s">
        <v>697</v>
      </c>
      <c r="DH1" s="36" t="s">
        <v>306</v>
      </c>
      <c r="DI1" s="5" t="s">
        <v>492</v>
      </c>
      <c r="DJ1" s="5" t="s">
        <v>493</v>
      </c>
      <c r="DK1" s="5" t="s">
        <v>494</v>
      </c>
      <c r="DL1" s="5" t="s">
        <v>495</v>
      </c>
      <c r="DM1" s="5" t="s">
        <v>496</v>
      </c>
      <c r="DN1" s="5" t="s">
        <v>196</v>
      </c>
      <c r="DO1" s="5" t="s">
        <v>497</v>
      </c>
      <c r="DP1" s="5" t="s">
        <v>498</v>
      </c>
      <c r="DQ1" s="5" t="s">
        <v>499</v>
      </c>
      <c r="DR1" s="5" t="s">
        <v>500</v>
      </c>
      <c r="DS1" s="37" t="s">
        <v>307</v>
      </c>
      <c r="DT1" s="5" t="s">
        <v>508</v>
      </c>
      <c r="DU1" s="5" t="s">
        <v>509</v>
      </c>
      <c r="DV1" s="5" t="s">
        <v>510</v>
      </c>
      <c r="DW1" s="5" t="s">
        <v>517</v>
      </c>
      <c r="DX1" s="5" t="s">
        <v>511</v>
      </c>
      <c r="DY1" s="5" t="s">
        <v>1053</v>
      </c>
      <c r="DZ1" s="5" t="s">
        <v>512</v>
      </c>
      <c r="EA1" s="5" t="s">
        <v>513</v>
      </c>
      <c r="EB1" s="5" t="s">
        <v>514</v>
      </c>
      <c r="EC1" s="5" t="s">
        <v>515</v>
      </c>
      <c r="ED1" s="5" t="s">
        <v>1054</v>
      </c>
      <c r="EE1" s="5" t="s">
        <v>516</v>
      </c>
      <c r="EF1" s="52" t="s">
        <v>507</v>
      </c>
      <c r="EG1" s="54" t="s">
        <v>609</v>
      </c>
      <c r="EH1" s="54" t="s">
        <v>610</v>
      </c>
      <c r="EI1" s="54" t="s">
        <v>611</v>
      </c>
      <c r="EJ1" s="54" t="s">
        <v>612</v>
      </c>
      <c r="EK1" s="54" t="s">
        <v>613</v>
      </c>
      <c r="EL1" s="54" t="s">
        <v>614</v>
      </c>
      <c r="EM1" s="54" t="s">
        <v>615</v>
      </c>
      <c r="EN1" s="54" t="s">
        <v>616</v>
      </c>
      <c r="EO1" s="54" t="s">
        <v>617</v>
      </c>
      <c r="EP1" s="55" t="s">
        <v>618</v>
      </c>
      <c r="EQ1" s="55" t="s">
        <v>619</v>
      </c>
      <c r="ER1" s="55" t="s">
        <v>620</v>
      </c>
      <c r="ES1" s="56" t="s">
        <v>583</v>
      </c>
    </row>
    <row r="2" spans="1:149" ht="15.75" x14ac:dyDescent="0.25">
      <c r="A2" s="9" t="s">
        <v>0</v>
      </c>
      <c r="B2" s="5">
        <v>1</v>
      </c>
      <c r="C2" s="5">
        <v>1</v>
      </c>
      <c r="D2" s="5">
        <v>1</v>
      </c>
      <c r="E2" s="5">
        <v>1</v>
      </c>
      <c r="F2" s="5">
        <v>2</v>
      </c>
      <c r="G2" s="5">
        <v>2</v>
      </c>
      <c r="H2" s="5">
        <v>2</v>
      </c>
      <c r="I2" s="5">
        <v>2</v>
      </c>
      <c r="J2" s="5">
        <v>3</v>
      </c>
      <c r="K2" s="5">
        <v>3</v>
      </c>
      <c r="L2" s="5">
        <v>3</v>
      </c>
      <c r="M2" s="5">
        <v>3</v>
      </c>
      <c r="N2" s="5"/>
      <c r="O2" s="5">
        <v>1</v>
      </c>
      <c r="P2" s="5">
        <v>1</v>
      </c>
      <c r="Q2" s="5">
        <v>1</v>
      </c>
      <c r="R2" s="5">
        <v>1</v>
      </c>
      <c r="S2" s="5">
        <v>2</v>
      </c>
      <c r="T2" s="5">
        <v>2</v>
      </c>
      <c r="U2" s="5">
        <v>2</v>
      </c>
      <c r="V2" s="5">
        <v>2</v>
      </c>
      <c r="W2" s="5">
        <v>3</v>
      </c>
      <c r="X2" s="5">
        <v>3</v>
      </c>
      <c r="Y2" s="5">
        <v>3</v>
      </c>
      <c r="Z2" s="5">
        <v>3</v>
      </c>
      <c r="AA2" s="5"/>
      <c r="AB2" s="5">
        <v>1</v>
      </c>
      <c r="AC2" s="5">
        <v>1</v>
      </c>
      <c r="AD2" s="5">
        <v>1</v>
      </c>
      <c r="AE2" s="5">
        <v>1</v>
      </c>
      <c r="AF2" s="5">
        <v>2</v>
      </c>
      <c r="AG2" s="5">
        <v>2</v>
      </c>
      <c r="AH2" s="5">
        <v>2</v>
      </c>
      <c r="AI2" s="5">
        <v>2</v>
      </c>
      <c r="AJ2" s="5">
        <v>3</v>
      </c>
      <c r="AK2" s="5">
        <v>3</v>
      </c>
      <c r="AL2" s="5">
        <v>3</v>
      </c>
      <c r="AM2" s="5">
        <v>3</v>
      </c>
      <c r="AN2" s="5"/>
      <c r="AO2" s="5">
        <v>1</v>
      </c>
      <c r="AP2" s="5">
        <v>1</v>
      </c>
      <c r="AQ2" s="5">
        <v>1</v>
      </c>
      <c r="AR2" s="5">
        <v>1</v>
      </c>
      <c r="AS2" s="5">
        <v>2</v>
      </c>
      <c r="AT2" s="5">
        <v>2</v>
      </c>
      <c r="AU2" s="5">
        <v>2</v>
      </c>
      <c r="AV2" s="5">
        <v>2</v>
      </c>
      <c r="AW2" s="5">
        <v>3</v>
      </c>
      <c r="AX2" s="5">
        <v>3</v>
      </c>
      <c r="AY2" s="5">
        <v>3</v>
      </c>
      <c r="AZ2" s="5">
        <v>3</v>
      </c>
      <c r="BA2" s="5"/>
      <c r="BB2" s="5">
        <v>1</v>
      </c>
      <c r="BC2" s="5">
        <v>1</v>
      </c>
      <c r="BD2" s="5">
        <v>1</v>
      </c>
      <c r="BE2" s="5">
        <v>1</v>
      </c>
      <c r="BF2" s="5">
        <v>2</v>
      </c>
      <c r="BG2" s="5">
        <v>2</v>
      </c>
      <c r="BH2" s="5">
        <v>2</v>
      </c>
      <c r="BI2" s="5">
        <v>2</v>
      </c>
      <c r="BJ2" s="5">
        <v>2</v>
      </c>
      <c r="BK2" s="5">
        <v>2</v>
      </c>
      <c r="BL2" s="5">
        <v>2</v>
      </c>
      <c r="BM2" s="5">
        <v>2</v>
      </c>
      <c r="BN2" s="5">
        <v>3</v>
      </c>
      <c r="BO2" s="5">
        <v>3</v>
      </c>
      <c r="BP2" s="5">
        <v>3</v>
      </c>
      <c r="BQ2" s="5">
        <v>3</v>
      </c>
      <c r="BR2" s="5">
        <v>3</v>
      </c>
      <c r="BS2" s="5">
        <v>3</v>
      </c>
      <c r="BT2" s="5">
        <v>3</v>
      </c>
      <c r="BV2" s="5">
        <v>1</v>
      </c>
      <c r="BW2" s="5">
        <v>1</v>
      </c>
      <c r="BX2" s="5">
        <v>1</v>
      </c>
      <c r="BY2" s="5">
        <v>1</v>
      </c>
      <c r="BZ2" s="5">
        <v>2</v>
      </c>
      <c r="CA2" s="5">
        <v>2</v>
      </c>
      <c r="CB2" s="5">
        <v>2</v>
      </c>
      <c r="CC2" s="5">
        <v>2</v>
      </c>
      <c r="CD2" s="5">
        <v>3</v>
      </c>
      <c r="CE2" s="5">
        <v>3</v>
      </c>
      <c r="CF2" s="5">
        <v>3</v>
      </c>
      <c r="CG2" s="5">
        <v>3</v>
      </c>
      <c r="CI2" s="5">
        <v>1</v>
      </c>
      <c r="CJ2" s="5">
        <v>1</v>
      </c>
      <c r="CK2" s="5">
        <v>1</v>
      </c>
      <c r="CL2" s="5">
        <v>1</v>
      </c>
      <c r="CM2" s="5">
        <v>2</v>
      </c>
      <c r="CN2" s="5">
        <v>2</v>
      </c>
      <c r="CO2" s="5">
        <v>2</v>
      </c>
      <c r="CP2" s="5">
        <v>2</v>
      </c>
      <c r="CQ2" s="5">
        <v>3</v>
      </c>
      <c r="CR2" s="5">
        <v>3</v>
      </c>
      <c r="CS2" s="5">
        <v>3</v>
      </c>
      <c r="CT2" s="5">
        <v>3</v>
      </c>
      <c r="CV2" s="5">
        <v>1</v>
      </c>
      <c r="CW2" s="5">
        <v>1</v>
      </c>
      <c r="CX2" s="5">
        <v>1</v>
      </c>
      <c r="CY2" s="5">
        <v>1</v>
      </c>
      <c r="CZ2" s="5">
        <v>2</v>
      </c>
      <c r="DA2" s="5">
        <v>2</v>
      </c>
      <c r="DB2" s="5">
        <v>2</v>
      </c>
      <c r="DC2" s="5">
        <v>2</v>
      </c>
      <c r="DD2" s="5">
        <v>3</v>
      </c>
      <c r="DE2" s="5">
        <v>3</v>
      </c>
      <c r="DF2" s="5">
        <v>3</v>
      </c>
      <c r="DG2" s="5">
        <v>3</v>
      </c>
      <c r="DI2" s="5">
        <v>1</v>
      </c>
      <c r="DJ2" s="5">
        <v>1</v>
      </c>
      <c r="DK2" s="5">
        <v>1</v>
      </c>
      <c r="DL2" s="5">
        <v>1</v>
      </c>
      <c r="DM2" s="5">
        <v>2</v>
      </c>
      <c r="DN2" s="5">
        <v>2</v>
      </c>
      <c r="DO2" s="5">
        <v>2</v>
      </c>
      <c r="DP2" s="5">
        <v>3</v>
      </c>
      <c r="DQ2" s="5">
        <v>3</v>
      </c>
      <c r="DR2" s="5">
        <v>3</v>
      </c>
      <c r="DT2" s="5">
        <v>1</v>
      </c>
      <c r="DU2" s="5">
        <v>1</v>
      </c>
      <c r="DV2" s="5">
        <v>1</v>
      </c>
      <c r="DW2" s="5">
        <v>1</v>
      </c>
      <c r="DX2" s="5">
        <v>2</v>
      </c>
      <c r="DY2" s="5">
        <v>2</v>
      </c>
      <c r="DZ2" s="5">
        <v>2</v>
      </c>
      <c r="EA2" s="5">
        <v>2</v>
      </c>
      <c r="EB2" s="5">
        <v>3</v>
      </c>
      <c r="EC2" s="5">
        <v>3</v>
      </c>
      <c r="ED2" s="5">
        <v>3</v>
      </c>
      <c r="EE2" s="5">
        <v>3</v>
      </c>
      <c r="EG2" s="5">
        <v>1</v>
      </c>
      <c r="EH2" s="5">
        <v>1</v>
      </c>
      <c r="EI2" s="5">
        <v>1</v>
      </c>
      <c r="EJ2" s="5">
        <v>1</v>
      </c>
      <c r="EK2" s="5">
        <v>2</v>
      </c>
      <c r="EL2" s="5">
        <v>2</v>
      </c>
      <c r="EM2" s="5">
        <v>2</v>
      </c>
      <c r="EN2" s="5">
        <v>2</v>
      </c>
      <c r="EO2" s="5">
        <v>3</v>
      </c>
      <c r="EP2" s="5">
        <v>3</v>
      </c>
      <c r="EQ2" s="5">
        <v>3</v>
      </c>
      <c r="ER2" s="5">
        <v>3</v>
      </c>
    </row>
    <row r="3" spans="1:149" ht="15.75" x14ac:dyDescent="0.25">
      <c r="A3" s="9" t="s">
        <v>376</v>
      </c>
      <c r="B3" s="5" t="str">
        <f t="shared" ref="B3:M3" si="0">$N1</f>
        <v>Light</v>
      </c>
      <c r="C3" s="5" t="str">
        <f t="shared" si="0"/>
        <v>Light</v>
      </c>
      <c r="D3" s="5" t="str">
        <f t="shared" si="0"/>
        <v>Light</v>
      </c>
      <c r="E3" s="5" t="str">
        <f t="shared" si="0"/>
        <v>Light</v>
      </c>
      <c r="F3" s="5" t="str">
        <f t="shared" si="0"/>
        <v>Light</v>
      </c>
      <c r="G3" s="5" t="str">
        <f t="shared" si="0"/>
        <v>Light</v>
      </c>
      <c r="H3" s="5" t="str">
        <f t="shared" si="0"/>
        <v>Light</v>
      </c>
      <c r="I3" s="5" t="str">
        <f t="shared" si="0"/>
        <v>Light</v>
      </c>
      <c r="J3" s="5" t="str">
        <f t="shared" si="0"/>
        <v>Light</v>
      </c>
      <c r="K3" s="5" t="str">
        <f t="shared" si="0"/>
        <v>Light</v>
      </c>
      <c r="L3" s="5" t="str">
        <f t="shared" si="0"/>
        <v>Light</v>
      </c>
      <c r="M3" s="5" t="str">
        <f t="shared" si="0"/>
        <v>Light</v>
      </c>
      <c r="N3" s="5"/>
      <c r="O3" s="5" t="str">
        <f t="shared" ref="O3:Y3" si="1">$AA1</f>
        <v>Fire</v>
      </c>
      <c r="P3" s="5" t="str">
        <f t="shared" si="1"/>
        <v>Fire</v>
      </c>
      <c r="Q3" s="5" t="str">
        <f t="shared" si="1"/>
        <v>Fire</v>
      </c>
      <c r="R3" s="5" t="str">
        <f t="shared" si="1"/>
        <v>Fire</v>
      </c>
      <c r="S3" s="5" t="str">
        <f t="shared" si="1"/>
        <v>Fire</v>
      </c>
      <c r="T3" s="5" t="str">
        <f t="shared" si="1"/>
        <v>Fire</v>
      </c>
      <c r="U3" s="5" t="str">
        <f t="shared" si="1"/>
        <v>Fire</v>
      </c>
      <c r="V3" s="5" t="str">
        <f t="shared" si="1"/>
        <v>Fire</v>
      </c>
      <c r="W3" s="5" t="str">
        <f t="shared" si="1"/>
        <v>Fire</v>
      </c>
      <c r="X3" s="5" t="str">
        <f t="shared" si="1"/>
        <v>Fire</v>
      </c>
      <c r="Y3" s="5" t="str">
        <f t="shared" si="1"/>
        <v>Fire</v>
      </c>
      <c r="Z3" s="5" t="str">
        <f>$AA1</f>
        <v>Fire</v>
      </c>
      <c r="AA3" s="5"/>
      <c r="AB3" s="5" t="str">
        <f t="shared" ref="AB3:AM3" si="2">$AN1</f>
        <v>Earth</v>
      </c>
      <c r="AC3" s="5" t="str">
        <f t="shared" si="2"/>
        <v>Earth</v>
      </c>
      <c r="AD3" s="5" t="str">
        <f t="shared" si="2"/>
        <v>Earth</v>
      </c>
      <c r="AE3" s="5" t="str">
        <f t="shared" si="2"/>
        <v>Earth</v>
      </c>
      <c r="AF3" s="5" t="str">
        <f t="shared" si="2"/>
        <v>Earth</v>
      </c>
      <c r="AG3" s="5" t="str">
        <f t="shared" si="2"/>
        <v>Earth</v>
      </c>
      <c r="AH3" s="5" t="str">
        <f t="shared" si="2"/>
        <v>Earth</v>
      </c>
      <c r="AI3" s="5" t="str">
        <f t="shared" si="2"/>
        <v>Earth</v>
      </c>
      <c r="AJ3" s="5" t="str">
        <f t="shared" si="2"/>
        <v>Earth</v>
      </c>
      <c r="AK3" s="5" t="str">
        <f t="shared" si="2"/>
        <v>Earth</v>
      </c>
      <c r="AL3" s="5" t="str">
        <f t="shared" si="2"/>
        <v>Earth</v>
      </c>
      <c r="AM3" s="5" t="str">
        <f t="shared" si="2"/>
        <v>Earth</v>
      </c>
      <c r="AN3" s="5"/>
      <c r="AO3" s="5" t="str">
        <f t="shared" ref="AO3:AY3" si="3">$BA1</f>
        <v>Dark</v>
      </c>
      <c r="AP3" s="5" t="str">
        <f t="shared" si="3"/>
        <v>Dark</v>
      </c>
      <c r="AQ3" s="5" t="str">
        <f t="shared" si="3"/>
        <v>Dark</v>
      </c>
      <c r="AR3" s="5" t="str">
        <f t="shared" si="3"/>
        <v>Dark</v>
      </c>
      <c r="AS3" s="5" t="str">
        <f t="shared" si="3"/>
        <v>Dark</v>
      </c>
      <c r="AT3" s="5" t="str">
        <f t="shared" si="3"/>
        <v>Dark</v>
      </c>
      <c r="AU3" s="5" t="str">
        <f t="shared" si="3"/>
        <v>Dark</v>
      </c>
      <c r="AV3" s="5" t="str">
        <f t="shared" si="3"/>
        <v>Dark</v>
      </c>
      <c r="AW3" s="5" t="str">
        <f t="shared" si="3"/>
        <v>Dark</v>
      </c>
      <c r="AX3" s="5" t="str">
        <f t="shared" si="3"/>
        <v>Dark</v>
      </c>
      <c r="AY3" s="5" t="str">
        <f t="shared" si="3"/>
        <v>Dark</v>
      </c>
      <c r="AZ3" s="5" t="str">
        <f>$BA1</f>
        <v>Dark</v>
      </c>
      <c r="BA3" s="5"/>
      <c r="BB3" s="5" t="str">
        <f t="shared" ref="BB3:BT3" si="4">$BU1</f>
        <v>Arcane</v>
      </c>
      <c r="BC3" s="5" t="str">
        <f t="shared" si="4"/>
        <v>Arcane</v>
      </c>
      <c r="BD3" s="5" t="str">
        <f t="shared" si="4"/>
        <v>Arcane</v>
      </c>
      <c r="BE3" s="5" t="str">
        <f t="shared" si="4"/>
        <v>Arcane</v>
      </c>
      <c r="BF3" s="5" t="str">
        <f t="shared" si="4"/>
        <v>Arcane</v>
      </c>
      <c r="BG3" s="5" t="str">
        <f t="shared" si="4"/>
        <v>Arcane</v>
      </c>
      <c r="BH3" s="5" t="str">
        <f t="shared" si="4"/>
        <v>Arcane</v>
      </c>
      <c r="BI3" s="5" t="str">
        <f t="shared" si="4"/>
        <v>Arcane</v>
      </c>
      <c r="BJ3" s="5" t="str">
        <f t="shared" si="4"/>
        <v>Arcane</v>
      </c>
      <c r="BK3" s="5" t="str">
        <f t="shared" si="4"/>
        <v>Arcane</v>
      </c>
      <c r="BL3" s="5" t="str">
        <f t="shared" si="4"/>
        <v>Arcane</v>
      </c>
      <c r="BM3" s="5" t="str">
        <f t="shared" si="4"/>
        <v>Arcane</v>
      </c>
      <c r="BN3" s="5" t="str">
        <f t="shared" si="4"/>
        <v>Arcane</v>
      </c>
      <c r="BO3" s="5" t="str">
        <f t="shared" si="4"/>
        <v>Arcane</v>
      </c>
      <c r="BP3" s="5" t="str">
        <f t="shared" si="4"/>
        <v>Arcane</v>
      </c>
      <c r="BQ3" s="5" t="str">
        <f t="shared" si="4"/>
        <v>Arcane</v>
      </c>
      <c r="BR3" s="5" t="str">
        <f t="shared" si="4"/>
        <v>Arcane</v>
      </c>
      <c r="BS3" s="5" t="str">
        <f t="shared" si="4"/>
        <v>Arcane</v>
      </c>
      <c r="BT3" s="5" t="str">
        <f t="shared" si="4"/>
        <v>Arcane</v>
      </c>
      <c r="BV3" s="5" t="str">
        <f t="shared" ref="BV3:CG3" si="5">$CH1</f>
        <v>Water</v>
      </c>
      <c r="BW3" s="5" t="str">
        <f t="shared" si="5"/>
        <v>Water</v>
      </c>
      <c r="BX3" s="5" t="str">
        <f t="shared" si="5"/>
        <v>Water</v>
      </c>
      <c r="BY3" s="5" t="str">
        <f t="shared" si="5"/>
        <v>Water</v>
      </c>
      <c r="BZ3" s="5" t="str">
        <f t="shared" si="5"/>
        <v>Water</v>
      </c>
      <c r="CA3" s="5" t="str">
        <f t="shared" si="5"/>
        <v>Water</v>
      </c>
      <c r="CB3" s="5" t="str">
        <f t="shared" si="5"/>
        <v>Water</v>
      </c>
      <c r="CC3" s="5" t="str">
        <f t="shared" si="5"/>
        <v>Water</v>
      </c>
      <c r="CD3" s="5" t="str">
        <f t="shared" si="5"/>
        <v>Water</v>
      </c>
      <c r="CE3" s="5" t="str">
        <f t="shared" si="5"/>
        <v>Water</v>
      </c>
      <c r="CF3" s="5" t="str">
        <f t="shared" si="5"/>
        <v>Water</v>
      </c>
      <c r="CG3" s="5" t="str">
        <f t="shared" si="5"/>
        <v>Water</v>
      </c>
      <c r="CH3" s="5"/>
      <c r="CI3" s="5" t="str">
        <f t="shared" ref="CI3:CS3" si="6">$CU1</f>
        <v>Air</v>
      </c>
      <c r="CJ3" s="5" t="str">
        <f t="shared" si="6"/>
        <v>Air</v>
      </c>
      <c r="CK3" s="5" t="str">
        <f t="shared" si="6"/>
        <v>Air</v>
      </c>
      <c r="CL3" s="5" t="str">
        <f t="shared" si="6"/>
        <v>Air</v>
      </c>
      <c r="CM3" s="5" t="str">
        <f t="shared" si="6"/>
        <v>Air</v>
      </c>
      <c r="CN3" s="5" t="str">
        <f t="shared" si="6"/>
        <v>Air</v>
      </c>
      <c r="CO3" s="5" t="str">
        <f t="shared" si="6"/>
        <v>Air</v>
      </c>
      <c r="CP3" s="5" t="str">
        <f t="shared" si="6"/>
        <v>Air</v>
      </c>
      <c r="CQ3" s="5" t="str">
        <f t="shared" si="6"/>
        <v>Air</v>
      </c>
      <c r="CR3" s="5" t="str">
        <f t="shared" si="6"/>
        <v>Air</v>
      </c>
      <c r="CS3" s="5" t="str">
        <f t="shared" si="6"/>
        <v>Air</v>
      </c>
      <c r="CT3" s="5" t="str">
        <f>$CU1</f>
        <v>Air</v>
      </c>
      <c r="CV3" s="5" t="str">
        <f t="shared" ref="CV3:DG3" si="7">$DH1</f>
        <v>Time</v>
      </c>
      <c r="CW3" s="5" t="str">
        <f t="shared" si="7"/>
        <v>Time</v>
      </c>
      <c r="CX3" s="5" t="str">
        <f t="shared" si="7"/>
        <v>Time</v>
      </c>
      <c r="CY3" s="5" t="str">
        <f t="shared" si="7"/>
        <v>Time</v>
      </c>
      <c r="CZ3" s="5" t="str">
        <f t="shared" si="7"/>
        <v>Time</v>
      </c>
      <c r="DA3" s="5" t="str">
        <f>$DH1</f>
        <v>Time</v>
      </c>
      <c r="DB3" s="5" t="str">
        <f t="shared" si="7"/>
        <v>Time</v>
      </c>
      <c r="DC3" s="5" t="str">
        <f t="shared" si="7"/>
        <v>Time</v>
      </c>
      <c r="DD3" s="5" t="str">
        <f>$DH1</f>
        <v>Time</v>
      </c>
      <c r="DE3" s="5" t="str">
        <f>$DH1</f>
        <v>Time</v>
      </c>
      <c r="DF3" s="5" t="str">
        <f t="shared" si="7"/>
        <v>Time</v>
      </c>
      <c r="DG3" s="5" t="str">
        <f t="shared" si="7"/>
        <v>Time</v>
      </c>
      <c r="DI3" s="5" t="str">
        <f t="shared" ref="DI3:DQ3" si="8">$DS1</f>
        <v>Harrower</v>
      </c>
      <c r="DJ3" s="5" t="str">
        <f t="shared" si="8"/>
        <v>Harrower</v>
      </c>
      <c r="DK3" s="5" t="str">
        <f t="shared" si="8"/>
        <v>Harrower</v>
      </c>
      <c r="DL3" s="5" t="str">
        <f t="shared" si="8"/>
        <v>Harrower</v>
      </c>
      <c r="DM3" s="5" t="str">
        <f t="shared" si="8"/>
        <v>Harrower</v>
      </c>
      <c r="DN3" s="5" t="str">
        <f t="shared" si="8"/>
        <v>Harrower</v>
      </c>
      <c r="DO3" s="5" t="str">
        <f t="shared" si="8"/>
        <v>Harrower</v>
      </c>
      <c r="DP3" s="5" t="str">
        <f t="shared" si="8"/>
        <v>Harrower</v>
      </c>
      <c r="DQ3" s="5" t="str">
        <f t="shared" si="8"/>
        <v>Harrower</v>
      </c>
      <c r="DR3" s="5" t="str">
        <f>$DS1</f>
        <v>Harrower</v>
      </c>
      <c r="DT3" s="5" t="str">
        <f t="shared" ref="DT3:ED3" si="9">$EF1</f>
        <v>Aether</v>
      </c>
      <c r="DU3" s="5" t="str">
        <f t="shared" si="9"/>
        <v>Aether</v>
      </c>
      <c r="DV3" s="5" t="str">
        <f t="shared" si="9"/>
        <v>Aether</v>
      </c>
      <c r="DW3" s="5" t="str">
        <f t="shared" si="9"/>
        <v>Aether</v>
      </c>
      <c r="DX3" s="5" t="str">
        <f t="shared" si="9"/>
        <v>Aether</v>
      </c>
      <c r="DY3" s="5" t="str">
        <f t="shared" ref="DY3" si="10">$EF1</f>
        <v>Aether</v>
      </c>
      <c r="DZ3" s="5" t="str">
        <f t="shared" si="9"/>
        <v>Aether</v>
      </c>
      <c r="EA3" s="5" t="str">
        <f t="shared" si="9"/>
        <v>Aether</v>
      </c>
      <c r="EB3" s="5" t="str">
        <f t="shared" si="9"/>
        <v>Aether</v>
      </c>
      <c r="EC3" s="5" t="str">
        <f t="shared" ref="EC3" si="11">$EF1</f>
        <v>Aether</v>
      </c>
      <c r="ED3" s="5" t="str">
        <f t="shared" si="9"/>
        <v>Aether</v>
      </c>
      <c r="EE3" s="5" t="str">
        <f>$EF1</f>
        <v>Aether</v>
      </c>
      <c r="EG3" s="5" t="str">
        <f t="shared" ref="EG3:EQ3" si="12">$ES1</f>
        <v>Common</v>
      </c>
      <c r="EH3" s="5" t="str">
        <f t="shared" si="12"/>
        <v>Common</v>
      </c>
      <c r="EI3" s="5" t="str">
        <f t="shared" si="12"/>
        <v>Common</v>
      </c>
      <c r="EJ3" s="5" t="str">
        <f t="shared" si="12"/>
        <v>Common</v>
      </c>
      <c r="EK3" s="5" t="str">
        <f t="shared" si="12"/>
        <v>Common</v>
      </c>
      <c r="EL3" s="5" t="str">
        <f t="shared" si="12"/>
        <v>Common</v>
      </c>
      <c r="EM3" s="5" t="str">
        <f t="shared" si="12"/>
        <v>Common</v>
      </c>
      <c r="EN3" s="5" t="str">
        <f t="shared" si="12"/>
        <v>Common</v>
      </c>
      <c r="EO3" s="5" t="str">
        <f>$ES1</f>
        <v>Common</v>
      </c>
      <c r="EP3" s="5" t="str">
        <f>$ES1</f>
        <v>Common</v>
      </c>
      <c r="EQ3" s="5" t="str">
        <f t="shared" si="12"/>
        <v>Common</v>
      </c>
      <c r="ER3" s="5" t="str">
        <f>$ES1</f>
        <v>Common</v>
      </c>
    </row>
    <row r="4" spans="1:149" ht="15.75"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row>
  </sheetData>
  <sheetProtection algorithmName="SHA-512" hashValue="qG0jCKfBacBQtIDu0JXEuNN+h3IgYpzW1Rqp99cjQqeuZkH1t3hUyuST7pxMD2iTOz5Vn9dDihed7zKhTEGI3Q==" saltValue="m6tszmsC1cNOthLh1UOnV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64"/>
  <sheetViews>
    <sheetView zoomScale="70" zoomScaleNormal="70" workbookViewId="0">
      <selection activeCell="I8" sqref="I8"/>
    </sheetView>
  </sheetViews>
  <sheetFormatPr defaultRowHeight="15" x14ac:dyDescent="0.25"/>
  <cols>
    <col min="1" max="1" width="33" bestFit="1" customWidth="1"/>
    <col min="4" max="4" width="33" bestFit="1" customWidth="1"/>
    <col min="7" max="15" width="9.140625" customWidth="1"/>
    <col min="16" max="16" width="12.42578125" customWidth="1"/>
    <col min="17" max="17" width="12.140625" bestFit="1" customWidth="1"/>
  </cols>
  <sheetData>
    <row r="1" spans="1:17" x14ac:dyDescent="0.25">
      <c r="A1" t="s">
        <v>625</v>
      </c>
      <c r="B1" t="s">
        <v>883</v>
      </c>
      <c r="D1" t="s">
        <v>1176</v>
      </c>
      <c r="E1" t="s">
        <v>884</v>
      </c>
      <c r="H1" s="64" t="s">
        <v>1195</v>
      </c>
      <c r="I1" s="65">
        <v>1</v>
      </c>
      <c r="J1" s="65">
        <v>2</v>
      </c>
      <c r="K1" s="65">
        <v>3</v>
      </c>
      <c r="L1" s="65">
        <v>4</v>
      </c>
      <c r="M1" s="65">
        <v>5</v>
      </c>
      <c r="N1" s="65">
        <v>6</v>
      </c>
      <c r="O1" s="65">
        <v>7</v>
      </c>
      <c r="Q1" s="10" t="s">
        <v>888</v>
      </c>
    </row>
    <row r="2" spans="1:17" x14ac:dyDescent="0.25">
      <c r="A2" s="76">
        <f>Character_Builder!H14</f>
        <v>0</v>
      </c>
      <c r="B2" s="25">
        <f>SUMIF(Equipment!$A$2:$A$545,Character_Builder!$H14,Equipment!$B$2:$B$545)</f>
        <v>0</v>
      </c>
      <c r="D2">
        <f>A2</f>
        <v>0</v>
      </c>
      <c r="E2" s="92">
        <f>SUM(SUMIF(Enhancements!$G$2:$G$27,Character_Builder!#REF!,Enhancements!$H$2:$H$27),SUMIF(Enhancements!$G$2:$G$27,Character_Builder!$I14,Enhancements!$H$2:$H$27),SUMIF(Enhancements!$G$2:$G$27,Character_Builder!#REF!,Enhancements!$H$2:$H$27),SUMIF(Magic_Lores!$1:$1,Character_Builder!#REF!,Magic_Lores!$2:$2))</f>
        <v>0</v>
      </c>
      <c r="G2" s="95"/>
      <c r="H2" s="108" t="s">
        <v>3</v>
      </c>
      <c r="I2" s="107">
        <f>Character_Data!$W12+3</f>
        <v>15</v>
      </c>
      <c r="J2" s="107">
        <f>I2+3</f>
        <v>18</v>
      </c>
      <c r="K2" s="107">
        <f t="shared" ref="K2:O2" si="0">J2+3</f>
        <v>21</v>
      </c>
      <c r="L2" s="107">
        <f t="shared" si="0"/>
        <v>24</v>
      </c>
      <c r="M2" s="107">
        <f t="shared" si="0"/>
        <v>27</v>
      </c>
      <c r="N2" s="107">
        <f t="shared" si="0"/>
        <v>30</v>
      </c>
      <c r="O2" s="107">
        <f t="shared" si="0"/>
        <v>33</v>
      </c>
    </row>
    <row r="3" spans="1:17" x14ac:dyDescent="0.25">
      <c r="A3" s="76">
        <f>Character_Builder!H15</f>
        <v>0</v>
      </c>
      <c r="B3" s="25">
        <f>SUMIF(Equipment!$A$2:$A$545,Character_Builder!$H15,Equipment!$B$2:$B$545)</f>
        <v>0</v>
      </c>
      <c r="D3">
        <f t="shared" ref="D3:D8" si="1">A3</f>
        <v>0</v>
      </c>
      <c r="E3" s="92">
        <f>SUM(SUMIF(Enhancements!$G$2:$G$27,Character_Builder!#REF!,Enhancements!$H$2:$H$27),SUMIF(Enhancements!$G$2:$G$27,Character_Builder!$I15,Enhancements!$H$2:$H$27),SUMIF(Enhancements!$G$2:$G$27,Character_Builder!#REF!,Enhancements!$H$2:$H$27),SUMIF(Magic_Lores!$1:$1,Character_Builder!#REF!,Magic_Lores!$2:$2))</f>
        <v>0</v>
      </c>
      <c r="H3" s="108" t="s">
        <v>4</v>
      </c>
      <c r="I3" s="107">
        <f>Character_Data!$W13+3</f>
        <v>15</v>
      </c>
      <c r="J3" s="107">
        <f t="shared" ref="J3:O3" si="2">I3+3</f>
        <v>18</v>
      </c>
      <c r="K3" s="107">
        <f t="shared" si="2"/>
        <v>21</v>
      </c>
      <c r="L3" s="107">
        <f t="shared" si="2"/>
        <v>24</v>
      </c>
      <c r="M3" s="107">
        <f t="shared" si="2"/>
        <v>27</v>
      </c>
      <c r="N3" s="107">
        <f t="shared" si="2"/>
        <v>30</v>
      </c>
      <c r="O3" s="107">
        <f t="shared" si="2"/>
        <v>33</v>
      </c>
    </row>
    <row r="4" spans="1:17" x14ac:dyDescent="0.25">
      <c r="A4" s="76">
        <f>Character_Builder!H16</f>
        <v>0</v>
      </c>
      <c r="B4" s="25">
        <f>SUMIF(Equipment!$A$2:$A$545,Character_Builder!$H16,Equipment!$B$2:$B$545)</f>
        <v>0</v>
      </c>
      <c r="D4">
        <f t="shared" si="1"/>
        <v>0</v>
      </c>
      <c r="E4" s="92">
        <f>SUM(SUMIF(Enhancements!$G$2:$G$27,Character_Builder!#REF!,Enhancements!$H$2:$H$27),SUMIF(Enhancements!$G$2:$G$27,Character_Builder!$I16,Enhancements!$H$2:$H$27),SUMIF(Enhancements!$G$2:$G$27,Character_Builder!#REF!,Enhancements!$H$2:$H$27),SUMIF(Magic_Lores!$1:$1,Character_Builder!#REF!,Magic_Lores!$2:$2))</f>
        <v>0</v>
      </c>
      <c r="H4" s="108" t="s">
        <v>5</v>
      </c>
      <c r="I4" s="107">
        <f>Character_Data!$W14+3</f>
        <v>9</v>
      </c>
      <c r="J4" s="107">
        <f t="shared" ref="J4:O4" si="3">I4+3</f>
        <v>12</v>
      </c>
      <c r="K4" s="107">
        <f t="shared" si="3"/>
        <v>15</v>
      </c>
      <c r="L4" s="107">
        <f t="shared" si="3"/>
        <v>18</v>
      </c>
      <c r="M4" s="107">
        <f t="shared" si="3"/>
        <v>21</v>
      </c>
      <c r="N4" s="107">
        <f t="shared" si="3"/>
        <v>24</v>
      </c>
      <c r="O4" s="107">
        <f t="shared" si="3"/>
        <v>27</v>
      </c>
    </row>
    <row r="5" spans="1:17" x14ac:dyDescent="0.25">
      <c r="A5" s="76">
        <f>Character_Builder!H17</f>
        <v>0</v>
      </c>
      <c r="B5" s="25">
        <f>SUMIF(Equipment!$A$2:$A$545,Character_Builder!$H17,Equipment!$B$2:$B$545)</f>
        <v>0</v>
      </c>
      <c r="D5">
        <f t="shared" si="1"/>
        <v>0</v>
      </c>
      <c r="E5" s="92">
        <f>SUM(SUMIF(Enhancements!$G$2:$G$27,Character_Builder!#REF!,Enhancements!$H$2:$H$27),SUMIF(Enhancements!$G$2:$G$27,Character_Builder!$I17,Enhancements!$H$2:$H$27),SUMIF(Enhancements!$G$2:$G$27,Character_Builder!#REF!,Enhancements!$H$2:$H$27),SUMIF(Magic_Lores!$1:$1,Character_Builder!#REF!,Magic_Lores!$2:$2))</f>
        <v>0</v>
      </c>
      <c r="G5" s="60"/>
      <c r="H5" s="62" t="s">
        <v>6</v>
      </c>
      <c r="I5" s="61">
        <f>Character_Data!$W15+3</f>
        <v>15</v>
      </c>
      <c r="J5" s="61">
        <f t="shared" ref="J5:O5" si="4">I5+3</f>
        <v>18</v>
      </c>
      <c r="K5" s="61">
        <f t="shared" si="4"/>
        <v>21</v>
      </c>
      <c r="L5" s="61">
        <f t="shared" si="4"/>
        <v>24</v>
      </c>
      <c r="M5" s="61">
        <f t="shared" si="4"/>
        <v>27</v>
      </c>
      <c r="N5" s="61">
        <f t="shared" si="4"/>
        <v>30</v>
      </c>
      <c r="O5" s="61">
        <f t="shared" si="4"/>
        <v>33</v>
      </c>
    </row>
    <row r="6" spans="1:17" x14ac:dyDescent="0.25">
      <c r="A6" s="76">
        <f>Character_Builder!H18</f>
        <v>0</v>
      </c>
      <c r="B6" s="25">
        <f>SUMIF(Equipment!$A$2:$A$545,Character_Builder!$H18,Equipment!$B$2:$B$545)</f>
        <v>0</v>
      </c>
      <c r="D6">
        <f t="shared" si="1"/>
        <v>0</v>
      </c>
      <c r="E6" s="92">
        <f>SUM(SUMIF(Enhancements!$G$2:$G$27,Character_Builder!#REF!,Enhancements!$H$2:$H$27),SUMIF(Enhancements!$G$2:$G$27,Character_Builder!$I18,Enhancements!$H$2:$H$27),SUMIF(Enhancements!$G$2:$G$27,Character_Builder!#REF!,Enhancements!$H$2:$H$27),SUMIF(Magic_Lores!$1:$1,Character_Builder!#REF!,Magic_Lores!$2:$2))</f>
        <v>0</v>
      </c>
      <c r="G6" t="s">
        <v>3</v>
      </c>
      <c r="H6" s="63">
        <f>VLOOKUP(Character_Builder!$C13,Character_Data!$V$2:$W$9,2,FALSE)</f>
        <v>12</v>
      </c>
      <c r="I6" t="e">
        <f t="shared" ref="I6:O9" si="5">IF(OR(I2&lt;=$H6,I17&gt;$P17),0,3*ROUNDDOWN(I2/3,0))</f>
        <v>#N/A</v>
      </c>
      <c r="J6" t="e">
        <f t="shared" si="5"/>
        <v>#N/A</v>
      </c>
      <c r="K6" t="e">
        <f t="shared" si="5"/>
        <v>#N/A</v>
      </c>
      <c r="L6" t="e">
        <f t="shared" si="5"/>
        <v>#N/A</v>
      </c>
      <c r="M6" t="e">
        <f t="shared" si="5"/>
        <v>#N/A</v>
      </c>
      <c r="N6" t="e">
        <f t="shared" si="5"/>
        <v>#N/A</v>
      </c>
      <c r="O6" t="e">
        <f t="shared" si="5"/>
        <v>#N/A</v>
      </c>
      <c r="P6">
        <f>IFERROR(SUM(I6:O6),0)</f>
        <v>0</v>
      </c>
    </row>
    <row r="7" spans="1:17" x14ac:dyDescent="0.25">
      <c r="A7" s="76">
        <f>Character_Builder!H19</f>
        <v>0</v>
      </c>
      <c r="B7" s="25">
        <f>SUMIF(Equipment!$A$2:$A$545,Character_Builder!$H19,Equipment!$B$2:$B$545)</f>
        <v>0</v>
      </c>
      <c r="D7">
        <f t="shared" si="1"/>
        <v>0</v>
      </c>
      <c r="E7" s="92">
        <f>SUM(SUMIF(Enhancements!$G$2:$G$27,Character_Builder!#REF!,Enhancements!$H$2:$H$27),SUMIF(Enhancements!$G$2:$G$27,Character_Builder!$I19,Enhancements!$H$2:$H$27),SUMIF(Enhancements!$G$2:$G$27,Character_Builder!#REF!,Enhancements!$H$2:$H$27),SUMIF(Magic_Lores!$1:$1,Character_Builder!#REF!,Magic_Lores!$2:$2))</f>
        <v>0</v>
      </c>
      <c r="G7" t="s">
        <v>4</v>
      </c>
      <c r="H7" s="63">
        <f>VLOOKUP(Character_Builder!$C14,Character_Data!$V$2:$W$9,2,FALSE)</f>
        <v>12</v>
      </c>
      <c r="I7" t="e">
        <f t="shared" si="5"/>
        <v>#N/A</v>
      </c>
      <c r="J7" t="e">
        <f t="shared" si="5"/>
        <v>#N/A</v>
      </c>
      <c r="K7" t="e">
        <f t="shared" si="5"/>
        <v>#N/A</v>
      </c>
      <c r="L7" t="e">
        <f t="shared" si="5"/>
        <v>#N/A</v>
      </c>
      <c r="M7" t="e">
        <f t="shared" si="5"/>
        <v>#N/A</v>
      </c>
      <c r="N7" t="e">
        <f t="shared" si="5"/>
        <v>#N/A</v>
      </c>
      <c r="O7" t="e">
        <f t="shared" si="5"/>
        <v>#N/A</v>
      </c>
      <c r="P7">
        <f t="shared" ref="P7:P9" si="6">IFERROR(SUM(I7:O7),0)</f>
        <v>0</v>
      </c>
    </row>
    <row r="8" spans="1:17" x14ac:dyDescent="0.25">
      <c r="A8" s="76">
        <f>Character_Builder!H20</f>
        <v>0</v>
      </c>
      <c r="B8" s="25">
        <f>SUMIF(Equipment!$A$2:$A$545,Character_Builder!$H20,Equipment!$B$2:$B$545)</f>
        <v>0</v>
      </c>
      <c r="D8">
        <f t="shared" si="1"/>
        <v>0</v>
      </c>
      <c r="E8" s="92">
        <f>SUM(SUMIF(Enhancements!$G$2:$G$27,Character_Builder!#REF!,Enhancements!$H$2:$H$27),SUMIF(Enhancements!$G$2:$G$27,Character_Builder!$I20,Enhancements!$H$2:$H$27),SUMIF(Enhancements!$G$2:$G$27,Character_Builder!#REF!,Enhancements!$H$2:$H$27),SUMIF(Magic_Lores!$1:$1,Character_Builder!#REF!,Magic_Lores!$2:$2))</f>
        <v>0</v>
      </c>
      <c r="G8" t="s">
        <v>5</v>
      </c>
      <c r="H8" s="63">
        <f>VLOOKUP(Character_Builder!$C15,Character_Data!$V$2:$W$9,2,FALSE)</f>
        <v>6</v>
      </c>
      <c r="I8" t="e">
        <f t="shared" si="5"/>
        <v>#N/A</v>
      </c>
      <c r="J8" t="e">
        <f t="shared" si="5"/>
        <v>#N/A</v>
      </c>
      <c r="K8" t="e">
        <f t="shared" si="5"/>
        <v>#N/A</v>
      </c>
      <c r="L8" t="e">
        <f t="shared" si="5"/>
        <v>#N/A</v>
      </c>
      <c r="M8" t="e">
        <f t="shared" si="5"/>
        <v>#N/A</v>
      </c>
      <c r="N8" t="e">
        <f t="shared" si="5"/>
        <v>#N/A</v>
      </c>
      <c r="O8" t="e">
        <f t="shared" si="5"/>
        <v>#N/A</v>
      </c>
      <c r="P8">
        <f t="shared" si="6"/>
        <v>0</v>
      </c>
    </row>
    <row r="9" spans="1:17" x14ac:dyDescent="0.25">
      <c r="G9" t="s">
        <v>6</v>
      </c>
      <c r="H9" s="63">
        <f>VLOOKUP(Character_Builder!$C16,Character_Data!$V$2:$W$9,2,FALSE)</f>
        <v>12</v>
      </c>
      <c r="I9" t="e">
        <f t="shared" si="5"/>
        <v>#N/A</v>
      </c>
      <c r="J9" t="e">
        <f t="shared" si="5"/>
        <v>#N/A</v>
      </c>
      <c r="K9" t="e">
        <f t="shared" si="5"/>
        <v>#N/A</v>
      </c>
      <c r="L9" t="e">
        <f t="shared" si="5"/>
        <v>#N/A</v>
      </c>
      <c r="M9" t="e">
        <f t="shared" si="5"/>
        <v>#N/A</v>
      </c>
      <c r="N9" t="e">
        <f t="shared" si="5"/>
        <v>#N/A</v>
      </c>
      <c r="O9" t="e">
        <f t="shared" si="5"/>
        <v>#N/A</v>
      </c>
      <c r="P9">
        <f t="shared" si="6"/>
        <v>0</v>
      </c>
    </row>
    <row r="10" spans="1:17" x14ac:dyDescent="0.25">
      <c r="A10" t="s">
        <v>900</v>
      </c>
      <c r="B10" t="s">
        <v>883</v>
      </c>
      <c r="D10" t="s">
        <v>1177</v>
      </c>
      <c r="E10" t="s">
        <v>884</v>
      </c>
    </row>
    <row r="11" spans="1:17" x14ac:dyDescent="0.25">
      <c r="A11" s="76">
        <f>Character_Builder!H32</f>
        <v>0</v>
      </c>
      <c r="B11" s="25">
        <f>SUMIF(Equipment!$A$2:$A$545,Character_Builder!$H32,Equipment!$B$2:$B$545)</f>
        <v>0</v>
      </c>
      <c r="D11">
        <f t="shared" ref="D11:D24" si="7">A11</f>
        <v>0</v>
      </c>
      <c r="E11" s="92">
        <f>SUM(SUMIF(Enhancements!$G$2:$G$27,Character_Builder!#REF!,Enhancements!$H$2:$H$27),SUMIF(Enhancements!$G$2:$G$27,Character_Builder!$I32,Enhancements!$H$2:$H$27),IF(IFERROR(FIND("Cloak",Character_Builder!$H32,1),0)&gt;0,0,SUMIF(Magic_Lores!$1:$1,Character_Builder!#REF!,Magic_Lores!$2:$2)*2))</f>
        <v>0</v>
      </c>
      <c r="I11" s="43" t="s">
        <v>1196</v>
      </c>
      <c r="J11" s="43" t="s">
        <v>1197</v>
      </c>
      <c r="K11" s="43" t="s">
        <v>1202</v>
      </c>
      <c r="L11" s="43" t="s">
        <v>1201</v>
      </c>
      <c r="M11" s="43" t="s">
        <v>1200</v>
      </c>
      <c r="N11" s="43" t="s">
        <v>1199</v>
      </c>
      <c r="O11" s="43" t="s">
        <v>1198</v>
      </c>
    </row>
    <row r="12" spans="1:17" x14ac:dyDescent="0.25">
      <c r="A12" s="76">
        <f>Character_Builder!H33</f>
        <v>0</v>
      </c>
      <c r="B12" s="25">
        <f>SUMIF(Equipment!$A$2:$A$545,Character_Builder!$H33,Equipment!$B$2:$B$545)</f>
        <v>0</v>
      </c>
      <c r="D12">
        <f t="shared" si="7"/>
        <v>0</v>
      </c>
      <c r="E12" s="92">
        <f>SUM(SUMIF(Enhancements!$G$2:$G$27,Character_Builder!#REF!,Enhancements!$H$2:$H$27),SUMIF(Enhancements!$G$2:$G$27,Character_Builder!$I33,Enhancements!$H$2:$H$27),IF(IFERROR(FIND("Cloak",Character_Builder!$H33,1),0)&gt;0,0,SUMIF(Magic_Lores!$1:$1,Character_Builder!#REF!,Magic_Lores!$2:$2)*2))</f>
        <v>0</v>
      </c>
      <c r="G12" t="s">
        <v>3</v>
      </c>
      <c r="I12" t="e">
        <f>IF(I2&gt;Lookups!$C40,"",I$11)</f>
        <v>#N/A</v>
      </c>
      <c r="J12" t="e">
        <f>IF(J2&gt;Lookups!$C40,"",J$11)</f>
        <v>#N/A</v>
      </c>
      <c r="K12" t="e">
        <f>IF(K2&gt;Lookups!$C40,"",K$11)</f>
        <v>#N/A</v>
      </c>
      <c r="L12" t="e">
        <f>IF(L2&gt;Lookups!$C40,"",L$11)</f>
        <v>#N/A</v>
      </c>
      <c r="M12" t="e">
        <f>IF(M2&gt;Lookups!$C40,"",M$11)</f>
        <v>#N/A</v>
      </c>
      <c r="N12" t="e">
        <f>IF(N2&gt;Lookups!$C40,"",N$11)</f>
        <v>#N/A</v>
      </c>
      <c r="O12" t="e">
        <f>IF(O2&gt;Lookups!$C40,"",O$11)</f>
        <v>#N/A</v>
      </c>
    </row>
    <row r="13" spans="1:17" x14ac:dyDescent="0.25">
      <c r="A13" s="76">
        <f>Character_Builder!H34</f>
        <v>0</v>
      </c>
      <c r="B13" s="25">
        <f>SUMIF(Equipment!$A$2:$A$545,Character_Builder!$H34,Equipment!$B$2:$B$545)</f>
        <v>0</v>
      </c>
      <c r="D13">
        <f t="shared" si="7"/>
        <v>0</v>
      </c>
      <c r="E13" s="92">
        <f>SUM(SUMIF(Enhancements!$G$2:$G$27,Character_Builder!#REF!,Enhancements!$H$2:$H$27),SUMIF(Enhancements!$G$2:$G$27,Character_Builder!$I34,Enhancements!$H$2:$H$27),IF(IFERROR(FIND("Cloak",Character_Builder!$H34,1),0)&gt;0,0,SUMIF(Magic_Lores!$1:$1,Character_Builder!#REF!,Magic_Lores!$2:$2)*2))</f>
        <v>0</v>
      </c>
      <c r="G13" t="s">
        <v>4</v>
      </c>
      <c r="I13" t="e">
        <f>IF(I3&gt;Lookups!$C41,"",I$11)</f>
        <v>#N/A</v>
      </c>
      <c r="J13" t="e">
        <f>IF(J3&gt;Lookups!$C41,"",J$11)</f>
        <v>#N/A</v>
      </c>
      <c r="K13" t="e">
        <f>IF(K3&gt;Lookups!$C41,"",K$11)</f>
        <v>#N/A</v>
      </c>
      <c r="L13" t="e">
        <f>IF(L3&gt;Lookups!$C41,"",L$11)</f>
        <v>#N/A</v>
      </c>
      <c r="M13" t="e">
        <f>IF(M3&gt;Lookups!$C41,"",M$11)</f>
        <v>#N/A</v>
      </c>
      <c r="N13" t="e">
        <f>IF(N3&gt;Lookups!$C41,"",N$11)</f>
        <v>#N/A</v>
      </c>
      <c r="O13" t="e">
        <f>IF(O3&gt;Lookups!$C41,"",O$11)</f>
        <v>#N/A</v>
      </c>
    </row>
    <row r="14" spans="1:17" x14ac:dyDescent="0.25">
      <c r="A14" s="76">
        <f>Character_Builder!H35</f>
        <v>0</v>
      </c>
      <c r="B14" s="25">
        <f>SUMIF(Equipment!$A$2:$A$545,Character_Builder!$H35,Equipment!$B$2:$B$545)</f>
        <v>0</v>
      </c>
      <c r="D14">
        <f t="shared" si="7"/>
        <v>0</v>
      </c>
      <c r="E14" s="92">
        <f>SUM(SUMIF(Enhancements!$G$2:$G$27,Character_Builder!#REF!,Enhancements!$H$2:$H$27),SUMIF(Enhancements!$G$2:$G$27,Character_Builder!$I35,Enhancements!$H$2:$H$27),IF(IFERROR(FIND("Cloak",Character_Builder!$H35,1),0)&gt;0,0,SUMIF(Magic_Lores!$1:$1,Character_Builder!#REF!,Magic_Lores!$2:$2)*2))</f>
        <v>0</v>
      </c>
      <c r="G14" t="s">
        <v>5</v>
      </c>
      <c r="I14" t="e">
        <f>IF(I4&gt;Lookups!$C42,"",I$11)</f>
        <v>#N/A</v>
      </c>
      <c r="J14" t="e">
        <f>IF(J4&gt;Lookups!$C42,"",J$11)</f>
        <v>#N/A</v>
      </c>
      <c r="K14" t="e">
        <f>IF(K4&gt;Lookups!$C42,"",K$11)</f>
        <v>#N/A</v>
      </c>
      <c r="L14" t="e">
        <f>IF(L4&gt;Lookups!$C42,"",L$11)</f>
        <v>#N/A</v>
      </c>
      <c r="M14" t="e">
        <f>IF(M4&gt;Lookups!$C42,"",M$11)</f>
        <v>#N/A</v>
      </c>
      <c r="N14" t="e">
        <f>IF(N4&gt;Lookups!$C42,"",N$11)</f>
        <v>#N/A</v>
      </c>
      <c r="O14" t="e">
        <f>IF(O4&gt;Lookups!$C42,"",O$11)</f>
        <v>#N/A</v>
      </c>
    </row>
    <row r="15" spans="1:17" x14ac:dyDescent="0.25">
      <c r="A15" s="76">
        <f>Character_Builder!H36</f>
        <v>0</v>
      </c>
      <c r="B15" s="25">
        <f>SUMIF(Equipment!$A$2:$A$545,Character_Builder!$H36,Equipment!$B$2:$B$545)</f>
        <v>0</v>
      </c>
      <c r="D15">
        <f t="shared" si="7"/>
        <v>0</v>
      </c>
      <c r="E15" s="92">
        <f>SUM(SUMIF(Enhancements!$G$2:$G$27,Character_Builder!#REF!,Enhancements!$H$2:$H$27),SUMIF(Enhancements!$G$2:$G$27,Character_Builder!$I36,Enhancements!$H$2:$H$27),IF(IFERROR(FIND("Cloak",Character_Builder!$H36,1),0)&gt;0,0,SUMIF(Magic_Lores!$1:$1,Character_Builder!#REF!,Magic_Lores!$2:$2)*2))</f>
        <v>0</v>
      </c>
      <c r="G15" t="s">
        <v>6</v>
      </c>
      <c r="I15" t="e">
        <f>IF(I5&gt;Lookups!$C43,"",I$11)</f>
        <v>#N/A</v>
      </c>
      <c r="J15" t="e">
        <f>IF(J5&gt;Lookups!$C43,"",J$11)</f>
        <v>#N/A</v>
      </c>
      <c r="K15" t="e">
        <f>IF(K5&gt;Lookups!$C43,"",K$11)</f>
        <v>#N/A</v>
      </c>
      <c r="L15" t="e">
        <f>IF(L5&gt;Lookups!$C43,"",L$11)</f>
        <v>#N/A</v>
      </c>
      <c r="M15" t="e">
        <f>IF(M5&gt;Lookups!$C43,"",M$11)</f>
        <v>#N/A</v>
      </c>
      <c r="N15" t="e">
        <f>IF(N5&gt;Lookups!$C43,"",N$11)</f>
        <v>#N/A</v>
      </c>
      <c r="O15" t="e">
        <f>IF(O5&gt;Lookups!$C43,"",O$11)</f>
        <v>#N/A</v>
      </c>
    </row>
    <row r="16" spans="1:17" x14ac:dyDescent="0.25">
      <c r="A16" s="76">
        <f>Character_Builder!H37</f>
        <v>0</v>
      </c>
      <c r="B16" s="25">
        <f>SUMIF(Equipment!$A$2:$A$545,Character_Builder!$H37,Equipment!$B$2:$B$545)</f>
        <v>0</v>
      </c>
      <c r="D16">
        <f t="shared" si="7"/>
        <v>0</v>
      </c>
      <c r="E16" s="92">
        <f>SUM(SUMIF(Enhancements!$G$2:$G$27,Character_Builder!#REF!,Enhancements!$H$2:$H$27),SUMIF(Enhancements!$G$2:$G$27,Character_Builder!$I37,Enhancements!$H$2:$H$27),IF(IFERROR(FIND("Cloak",Character_Builder!$H37,1),0)&gt;0,0,SUMIF(Magic_Lores!$1:$1,Character_Builder!#REF!,Magic_Lores!$2:$2)*2))</f>
        <v>0</v>
      </c>
    </row>
    <row r="17" spans="1:16" x14ac:dyDescent="0.25">
      <c r="A17" s="76">
        <f>Character_Builder!H38</f>
        <v>0</v>
      </c>
      <c r="B17" s="25">
        <f>SUMIF(Equipment!$A$2:$A$545,Character_Builder!$H38,Equipment!$B$2:$B$545)</f>
        <v>0</v>
      </c>
      <c r="D17">
        <f t="shared" si="7"/>
        <v>0</v>
      </c>
      <c r="E17" s="92">
        <f>SUM(SUMIF(Enhancements!$G$2:$G$27,Character_Builder!#REF!,Enhancements!$H$2:$H$27),SUMIF(Enhancements!$G$2:$G$27,Character_Builder!$I38,Enhancements!$H$2:$H$27),IF(IFERROR(FIND("Cloak",Character_Builder!$H38,1),0)&gt;0,0,SUMIF(Magic_Lores!$1:$1,Character_Builder!#REF!,Magic_Lores!$2:$2)*2))</f>
        <v>0</v>
      </c>
      <c r="G17" t="s">
        <v>3</v>
      </c>
      <c r="I17" t="e">
        <f>IF(I12="","",COLUMN(I12)-8)</f>
        <v>#N/A</v>
      </c>
      <c r="J17" t="e">
        <f t="shared" ref="J17:O20" si="8">IF(J12="","",COLUMN(J12)-8)</f>
        <v>#N/A</v>
      </c>
      <c r="K17" t="e">
        <f t="shared" si="8"/>
        <v>#N/A</v>
      </c>
      <c r="L17" t="e">
        <f t="shared" si="8"/>
        <v>#N/A</v>
      </c>
      <c r="M17" t="e">
        <f t="shared" si="8"/>
        <v>#N/A</v>
      </c>
      <c r="N17" t="e">
        <f t="shared" si="8"/>
        <v>#N/A</v>
      </c>
      <c r="O17" t="e">
        <f t="shared" si="8"/>
        <v>#N/A</v>
      </c>
      <c r="P17">
        <f>IFERROR(VLOOKUP($G17,$G$17:$O$20,MATCH(Character_Builder!$D13,$G12:$O12,0),FALSE),0)</f>
        <v>0</v>
      </c>
    </row>
    <row r="18" spans="1:16" x14ac:dyDescent="0.25">
      <c r="A18" s="76">
        <f>Character_Builder!H39</f>
        <v>0</v>
      </c>
      <c r="B18" s="25">
        <f>SUMIF(Equipment!$A$2:$A$545,Character_Builder!$H39,Equipment!$B$2:$B$545)</f>
        <v>0</v>
      </c>
      <c r="D18">
        <f t="shared" si="7"/>
        <v>0</v>
      </c>
      <c r="E18" s="92">
        <f>SUM(SUMIF(Enhancements!$G$2:$G$27,Character_Builder!#REF!,Enhancements!$H$2:$H$27),SUMIF(Enhancements!$G$2:$G$27,Character_Builder!$I39,Enhancements!$H$2:$H$27),IF(IFERROR(FIND("Cloak",Character_Builder!$H39,1),0)&gt;0,0,SUMIF(Magic_Lores!$1:$1,Character_Builder!#REF!,Magic_Lores!$2:$2)*2))</f>
        <v>0</v>
      </c>
      <c r="G18" t="s">
        <v>4</v>
      </c>
      <c r="I18" t="e">
        <f t="shared" ref="I18:O20" si="9">IF(I13="","",COLUMN(I13)-8)</f>
        <v>#N/A</v>
      </c>
      <c r="J18" t="e">
        <f t="shared" si="9"/>
        <v>#N/A</v>
      </c>
      <c r="K18" t="e">
        <f t="shared" si="9"/>
        <v>#N/A</v>
      </c>
      <c r="L18" t="e">
        <f t="shared" si="9"/>
        <v>#N/A</v>
      </c>
      <c r="M18" t="e">
        <f t="shared" si="9"/>
        <v>#N/A</v>
      </c>
      <c r="N18" t="e">
        <f t="shared" si="9"/>
        <v>#N/A</v>
      </c>
      <c r="O18" t="e">
        <f t="shared" si="9"/>
        <v>#N/A</v>
      </c>
      <c r="P18">
        <f>IFERROR(VLOOKUP($G18,$G$17:$O$20,MATCH(Character_Builder!$D14,$G13:$O13,0),FALSE),0)</f>
        <v>0</v>
      </c>
    </row>
    <row r="19" spans="1:16" x14ac:dyDescent="0.25">
      <c r="A19" s="76">
        <f>Character_Builder!H40</f>
        <v>0</v>
      </c>
      <c r="B19" s="25">
        <f>SUMIF(Equipment!$A$2:$A$545,Character_Builder!$H40,Equipment!$B$2:$B$545)</f>
        <v>0</v>
      </c>
      <c r="D19">
        <f t="shared" si="7"/>
        <v>0</v>
      </c>
      <c r="E19" s="92">
        <f>SUM(SUMIF(Enhancements!$G$2:$G$27,Character_Builder!#REF!,Enhancements!$H$2:$H$27),SUMIF(Enhancements!$G$2:$G$27,Character_Builder!$I40,Enhancements!$H$2:$H$27),IF(IFERROR(FIND("Cloak",Character_Builder!$H40,1),0)&gt;0,0,SUMIF(Magic_Lores!$1:$1,Character_Builder!#REF!,Magic_Lores!$2:$2)*2))</f>
        <v>0</v>
      </c>
      <c r="G19" t="s">
        <v>5</v>
      </c>
      <c r="I19" t="e">
        <f t="shared" si="9"/>
        <v>#N/A</v>
      </c>
      <c r="J19" t="e">
        <f t="shared" si="8"/>
        <v>#N/A</v>
      </c>
      <c r="K19" t="e">
        <f t="shared" si="8"/>
        <v>#N/A</v>
      </c>
      <c r="L19" t="e">
        <f t="shared" si="8"/>
        <v>#N/A</v>
      </c>
      <c r="M19" t="e">
        <f t="shared" si="8"/>
        <v>#N/A</v>
      </c>
      <c r="N19" t="e">
        <f t="shared" si="8"/>
        <v>#N/A</v>
      </c>
      <c r="O19" t="e">
        <f t="shared" si="8"/>
        <v>#N/A</v>
      </c>
      <c r="P19">
        <f>IFERROR(VLOOKUP($G19,$G$17:$O$20,MATCH(Character_Builder!$D15,$G14:$O14,0),FALSE),0)</f>
        <v>0</v>
      </c>
    </row>
    <row r="20" spans="1:16" x14ac:dyDescent="0.25">
      <c r="A20" s="76">
        <f>Character_Builder!H41</f>
        <v>0</v>
      </c>
      <c r="B20" s="25">
        <f>SUMIF(Equipment!$A$2:$A$545,Character_Builder!$H41,Equipment!$B$2:$B$545)</f>
        <v>0</v>
      </c>
      <c r="D20">
        <f t="shared" si="7"/>
        <v>0</v>
      </c>
      <c r="E20" s="92">
        <f>SUM(SUMIF(Enhancements!$G$2:$G$27,Character_Builder!#REF!,Enhancements!$H$2:$H$27),SUMIF(Enhancements!$G$2:$G$27,Character_Builder!$I41,Enhancements!$H$2:$H$27),IF(IFERROR(FIND("Cloak",Character_Builder!$H41,1),0)&gt;0,0,SUMIF(Magic_Lores!$1:$1,Character_Builder!#REF!,Magic_Lores!$2:$2)*2))</f>
        <v>0</v>
      </c>
      <c r="G20" t="s">
        <v>6</v>
      </c>
      <c r="I20" t="e">
        <f t="shared" si="9"/>
        <v>#N/A</v>
      </c>
      <c r="J20" t="e">
        <f t="shared" si="8"/>
        <v>#N/A</v>
      </c>
      <c r="K20" t="e">
        <f t="shared" si="8"/>
        <v>#N/A</v>
      </c>
      <c r="L20" t="e">
        <f t="shared" si="8"/>
        <v>#N/A</v>
      </c>
      <c r="M20" t="e">
        <f t="shared" si="8"/>
        <v>#N/A</v>
      </c>
      <c r="N20" t="e">
        <f t="shared" si="8"/>
        <v>#N/A</v>
      </c>
      <c r="O20" t="e">
        <f t="shared" si="8"/>
        <v>#N/A</v>
      </c>
      <c r="P20">
        <f>IFERROR(VLOOKUP($G20,$G$17:$O$20,MATCH(Character_Builder!$D16,$G15:$O15,0),FALSE),0)</f>
        <v>0</v>
      </c>
    </row>
    <row r="21" spans="1:16" x14ac:dyDescent="0.25">
      <c r="A21" s="76">
        <f>Character_Builder!H42</f>
        <v>0</v>
      </c>
      <c r="B21" s="25">
        <f>SUMIF(Equipment!$A$2:$A$545,Character_Builder!$H42,Equipment!$B$2:$B$545)</f>
        <v>0</v>
      </c>
      <c r="D21">
        <f t="shared" si="7"/>
        <v>0</v>
      </c>
      <c r="E21" s="92">
        <f>SUM(SUMIF(Enhancements!$G$2:$G$27,Character_Builder!#REF!,Enhancements!$H$2:$H$27),SUMIF(Enhancements!$G$2:$G$27,Character_Builder!$I42,Enhancements!$H$2:$H$27),IF(IFERROR(FIND("Cloak",Character_Builder!$H42,1),0)&gt;0,0,SUMIF(Magic_Lores!$1:$1,Character_Builder!#REF!,Magic_Lores!$2:$2)*2))</f>
        <v>0</v>
      </c>
    </row>
    <row r="22" spans="1:16" x14ac:dyDescent="0.25">
      <c r="A22" s="76">
        <f>Character_Builder!H43</f>
        <v>0</v>
      </c>
      <c r="B22" s="25">
        <f>SUMIF(Equipment!$A$2:$A$545,Character_Builder!$H43,Equipment!$B$2:$B$545)</f>
        <v>0</v>
      </c>
      <c r="D22">
        <f t="shared" si="7"/>
        <v>0</v>
      </c>
      <c r="E22" s="92">
        <f>SUM(SUMIF(Enhancements!$G$2:$G$27,Character_Builder!#REF!,Enhancements!$H$2:$H$27),SUMIF(Enhancements!$G$2:$G$27,Character_Builder!$I43,Enhancements!$H$2:$H$27),IF(IFERROR(FIND("Cloak",Character_Builder!$H43,1),0)&gt;0,0,SUMIF(Magic_Lores!$1:$1,Character_Builder!#REF!,Magic_Lores!$2:$2)*2))</f>
        <v>0</v>
      </c>
      <c r="G22" t="s">
        <v>1182</v>
      </c>
      <c r="H22">
        <f>SUM(ROUNDDOWN((SUM(COUNTIF(Character_Builder!$Z$15:$Z$44,"Light"))-SUM(COUNTIF(Character_Builder!$Z$15:$Z$44,"Dark"),COUNTIF(Character_Builder!$Z$15:$Z$44,"Harrower")))/2,0),-1*Character_Builder!$AC$21,Character_Builder!$AC$20)</f>
        <v>0</v>
      </c>
    </row>
    <row r="23" spans="1:16" x14ac:dyDescent="0.25">
      <c r="A23" s="76">
        <f>Character_Builder!H44</f>
        <v>0</v>
      </c>
      <c r="B23" s="25">
        <f>SUMIF(Equipment!$A$2:$A$545,Character_Builder!$H44,Equipment!$B$2:$B$545)</f>
        <v>0</v>
      </c>
      <c r="D23">
        <f t="shared" si="7"/>
        <v>0</v>
      </c>
      <c r="E23" s="92">
        <f>SUM(SUMIF(Enhancements!$G$2:$G$27,Character_Builder!#REF!,Enhancements!$H$2:$H$27),SUMIF(Enhancements!$G$2:$G$27,Character_Builder!$I44,Enhancements!$H$2:$H$27),IF(IFERROR(FIND("loak",Character_Builder!$H44,1),0)&gt;0,0,SUMIF(Magic_Lores!$1:$1,Character_Builder!#REF!,Magic_Lores!$2:$2)*2))</f>
        <v>0</v>
      </c>
    </row>
    <row r="24" spans="1:16" x14ac:dyDescent="0.25">
      <c r="A24" s="76">
        <f>Character_Builder!H45</f>
        <v>0</v>
      </c>
      <c r="B24" s="25">
        <f>SUMIF(Equipment!$A$2:$A$545,Character_Builder!$H45,Equipment!$B$2:$B$545)</f>
        <v>0</v>
      </c>
      <c r="D24">
        <f t="shared" si="7"/>
        <v>0</v>
      </c>
      <c r="E24" s="92">
        <f>SUM(SUMIF(Enhancements!$G$2:$G$27,Character_Builder!#REF!,Enhancements!$H$2:$H$27),SUMIF(Enhancements!$G$2:$G$27,Character_Builder!$I45,Enhancements!$H$2:$H$27),IF(IFERROR(FIND("Cloak",Character_Builder!$H45,1),0)&gt;0,0,SUMIF(Magic_Lores!$1:$1,Character_Builder!#REF!,Magic_Lores!$2:$2)*2))</f>
        <v>0</v>
      </c>
    </row>
    <row r="26" spans="1:16" x14ac:dyDescent="0.25">
      <c r="A26" t="s">
        <v>899</v>
      </c>
      <c r="B26" t="s">
        <v>883</v>
      </c>
      <c r="D26" t="s">
        <v>1179</v>
      </c>
      <c r="E26" t="s">
        <v>884</v>
      </c>
    </row>
    <row r="27" spans="1:16" x14ac:dyDescent="0.25">
      <c r="A27" s="76">
        <f>Character_Builder!K14</f>
        <v>0</v>
      </c>
      <c r="B27" s="25">
        <f>SUMIF(Equipment!$A$2:$A$545,Character_Builder!$K14,Equipment!$B$2:$B$545)</f>
        <v>0</v>
      </c>
      <c r="D27">
        <f t="shared" ref="D27:D41" si="10">A27</f>
        <v>0</v>
      </c>
      <c r="E27" s="92">
        <f>SUM(SUMIF(Enhancements!$G$2:$G$27,Character_Builder!#REF!,Enhancements!$H$2:$H$27),SUMIF(Enhancements!$G$2:$G$27,Character_Builder!$L14,Enhancements!$H$2:$H$27),IF(IFERROR(FIND("Ring",Character_Builder!$K14,1),0)&gt;0,0,SUMIF(Magic_Lores!$1:$1,Character_Builder!#REF!,Magic_Lores!$2:$2)*2))</f>
        <v>0</v>
      </c>
    </row>
    <row r="28" spans="1:16" x14ac:dyDescent="0.25">
      <c r="A28" s="76">
        <f>Character_Builder!K15</f>
        <v>0</v>
      </c>
      <c r="B28" s="25">
        <f>SUMIF(Equipment!$A$2:$A$545,Character_Builder!$K15,Equipment!$B$2:$B$545)</f>
        <v>0</v>
      </c>
      <c r="D28">
        <f t="shared" si="10"/>
        <v>0</v>
      </c>
      <c r="E28" s="92">
        <f>SUM(SUMIF(Enhancements!$G$2:$G$27,Character_Builder!#REF!,Enhancements!$H$2:$H$27),SUMIF(Enhancements!$G$2:$G$27,Character_Builder!$L15,Enhancements!$H$2:$H$27),IF(IFERROR(FIND("Ring",Character_Builder!$K15,1),0)&gt;0,0,SUMIF(Magic_Lores!$1:$1,Character_Builder!#REF!,Magic_Lores!$2:$2)*2))</f>
        <v>0</v>
      </c>
    </row>
    <row r="29" spans="1:16" x14ac:dyDescent="0.25">
      <c r="A29" s="76">
        <f>Character_Builder!K16</f>
        <v>0</v>
      </c>
      <c r="B29" s="25">
        <f>SUMIF(Equipment!$A$2:$A$545,Character_Builder!$K16,Equipment!$B$2:$B$545)</f>
        <v>0</v>
      </c>
      <c r="D29">
        <f t="shared" si="10"/>
        <v>0</v>
      </c>
      <c r="E29" s="92">
        <f>SUM(SUMIF(Enhancements!$G$2:$G$27,Character_Builder!#REF!,Enhancements!$H$2:$H$27),SUMIF(Enhancements!$G$2:$G$27,Character_Builder!$L16,Enhancements!$H$2:$H$27),IF(IFERROR(FIND("Ring",Character_Builder!$K16,1),0)&gt;0,0,SUMIF(Magic_Lores!$1:$1,Character_Builder!#REF!,Magic_Lores!$2:$2)*2))</f>
        <v>0</v>
      </c>
    </row>
    <row r="30" spans="1:16" x14ac:dyDescent="0.25">
      <c r="A30" s="76">
        <f>Character_Builder!K17</f>
        <v>0</v>
      </c>
      <c r="B30" s="25">
        <f>SUMIF(Equipment!$A$2:$A$545,Character_Builder!$K17,Equipment!$B$2:$B$545)</f>
        <v>0</v>
      </c>
      <c r="D30">
        <f t="shared" si="10"/>
        <v>0</v>
      </c>
      <c r="E30" s="92">
        <f>SUM(SUMIF(Enhancements!$G$2:$G$27,Character_Builder!#REF!,Enhancements!$H$2:$H$27),SUMIF(Enhancements!$G$2:$G$27,Character_Builder!$L17,Enhancements!$H$2:$H$27),IF(IFERROR(FIND("Ring",Character_Builder!$K17,1),0)&gt;0,0,SUMIF(Magic_Lores!$1:$1,Character_Builder!#REF!,Magic_Lores!$2:$2)*2))</f>
        <v>0</v>
      </c>
    </row>
    <row r="31" spans="1:16" x14ac:dyDescent="0.25">
      <c r="A31" s="76">
        <f>Character_Builder!K18</f>
        <v>0</v>
      </c>
      <c r="B31" s="25">
        <f>SUMIF(Equipment!$A$2:$A$545,Character_Builder!$K18,Equipment!$B$2:$B$545)</f>
        <v>0</v>
      </c>
      <c r="D31">
        <f t="shared" si="10"/>
        <v>0</v>
      </c>
      <c r="E31" s="92">
        <f>SUM(SUMIF(Enhancements!$G$2:$G$27,Character_Builder!#REF!,Enhancements!$H$2:$H$27),SUMIF(Enhancements!$G$2:$G$27,Character_Builder!$L18,Enhancements!$H$2:$H$27),IF(IFERROR(FIND("Ring",Character_Builder!$K18,1),0)&gt;0,0,SUMIF(Magic_Lores!$1:$1,Character_Builder!#REF!,Magic_Lores!$2:$2)*2))</f>
        <v>0</v>
      </c>
    </row>
    <row r="32" spans="1:16" x14ac:dyDescent="0.25">
      <c r="A32" s="76">
        <f>Character_Builder!K19</f>
        <v>0</v>
      </c>
      <c r="B32" s="25">
        <f>SUMIF(Equipment!$A$2:$A$545,Character_Builder!$K19,Equipment!$B$2:$B$545)</f>
        <v>0</v>
      </c>
      <c r="D32">
        <f t="shared" si="10"/>
        <v>0</v>
      </c>
      <c r="E32" s="92">
        <f>SUM(SUMIF(Enhancements!$G$2:$G$27,Character_Builder!#REF!,Enhancements!$H$2:$H$27),SUMIF(Enhancements!$G$2:$G$27,Character_Builder!$L19,Enhancements!$H$2:$H$27),IF(IFERROR(FIND("Ring",Character_Builder!$K19,1),0)&gt;0,0,SUMIF(Magic_Lores!$1:$1,Character_Builder!#REF!,Magic_Lores!$2:$2)*2))</f>
        <v>0</v>
      </c>
    </row>
    <row r="33" spans="1:5" x14ac:dyDescent="0.25">
      <c r="A33" s="76">
        <f>Character_Builder!K20</f>
        <v>0</v>
      </c>
      <c r="B33" s="25">
        <f>SUMIF(Equipment!$A$2:$A$545,Character_Builder!$K20,Equipment!$B$2:$B$545)</f>
        <v>0</v>
      </c>
      <c r="D33">
        <f t="shared" si="10"/>
        <v>0</v>
      </c>
      <c r="E33" s="92">
        <f>SUM(SUMIF(Enhancements!$G$2:$G$27,Character_Builder!#REF!,Enhancements!$H$2:$H$27),SUMIF(Enhancements!$G$2:$G$27,Character_Builder!$L20,Enhancements!$H$2:$H$27),IF(IFERROR(FIND("Ring",Character_Builder!$K20,1),0)&gt;0,0,SUMIF(Magic_Lores!$1:$1,Character_Builder!#REF!,Magic_Lores!$2:$2)*2))</f>
        <v>0</v>
      </c>
    </row>
    <row r="34" spans="1:5" x14ac:dyDescent="0.25">
      <c r="A34" s="76">
        <f>Character_Builder!K21</f>
        <v>0</v>
      </c>
      <c r="B34" s="25">
        <f>SUMIF(Equipment!$A$2:$A$545,Character_Builder!$K21,Equipment!$B$2:$B$545)</f>
        <v>0</v>
      </c>
      <c r="D34">
        <f t="shared" si="10"/>
        <v>0</v>
      </c>
      <c r="E34" s="92">
        <f>SUM(SUMIF(Enhancements!$G$2:$G$27,Character_Builder!#REF!,Enhancements!$H$2:$H$27),SUMIF(Enhancements!$G$2:$G$27,Character_Builder!$L21,Enhancements!$H$2:$H$27),IF(IFERROR(FIND("Ring",Character_Builder!$K21,1),0)&gt;0,0,SUMIF(Magic_Lores!$1:$1,Character_Builder!#REF!,Magic_Lores!$2:$2)*2))</f>
        <v>0</v>
      </c>
    </row>
    <row r="35" spans="1:5" x14ac:dyDescent="0.25">
      <c r="A35" s="76">
        <f>Character_Builder!K22</f>
        <v>0</v>
      </c>
      <c r="B35" s="25">
        <f>SUMIF(Equipment!$A$2:$A$545,Character_Builder!$K22,Equipment!$B$2:$B$545)</f>
        <v>0</v>
      </c>
      <c r="D35">
        <f t="shared" si="10"/>
        <v>0</v>
      </c>
      <c r="E35" s="92">
        <f>SUM(SUMIF(Enhancements!$G$2:$G$27,Character_Builder!#REF!,Enhancements!$H$2:$H$27),SUMIF(Enhancements!$G$2:$G$27,Character_Builder!$L22,Enhancements!$H$2:$H$27),IF(IFERROR(FIND("Ring",Character_Builder!$K22,1),0)&gt;0,0,SUMIF(Magic_Lores!$1:$1,Character_Builder!#REF!,Magic_Lores!$2:$2)*2))</f>
        <v>0</v>
      </c>
    </row>
    <row r="36" spans="1:5" x14ac:dyDescent="0.25">
      <c r="A36" s="76">
        <f>Character_Builder!K23</f>
        <v>0</v>
      </c>
      <c r="B36" s="25">
        <f>SUMIF(Equipment!$A$2:$A$545,Character_Builder!$K23,Equipment!$B$2:$B$545)</f>
        <v>0</v>
      </c>
      <c r="D36">
        <f t="shared" si="10"/>
        <v>0</v>
      </c>
      <c r="E36" s="92">
        <f>SUM(SUMIF(Enhancements!$G$2:$G$27,Character_Builder!#REF!,Enhancements!$H$2:$H$27),SUMIF(Enhancements!$G$2:$G$27,Character_Builder!$L23,Enhancements!$H$2:$H$27),IF(IFERROR(FIND("Ring",Character_Builder!$K23,1),0)&gt;0,0,SUMIF(Magic_Lores!$1:$1,Character_Builder!#REF!,Magic_Lores!$2:$2)*2))</f>
        <v>0</v>
      </c>
    </row>
    <row r="37" spans="1:5" x14ac:dyDescent="0.25">
      <c r="A37" s="76">
        <f>Character_Builder!K24</f>
        <v>0</v>
      </c>
      <c r="B37" s="25">
        <f>SUMIF(Equipment!$A$2:$A$545,Character_Builder!$K24,Equipment!$B$2:$B$545)</f>
        <v>0</v>
      </c>
      <c r="D37">
        <f t="shared" si="10"/>
        <v>0</v>
      </c>
      <c r="E37" s="92">
        <f>SUM(SUMIF(Enhancements!$G$2:$G$27,Character_Builder!#REF!,Enhancements!$H$2:$H$27),SUMIF(Enhancements!$G$2:$G$27,Character_Builder!$L24,Enhancements!$H$2:$H$27),IF(IFERROR(FIND("Ring",Character_Builder!$K24,1),0)&gt;0,0,SUMIF(Magic_Lores!$1:$1,Character_Builder!#REF!,Magic_Lores!$2:$2)*2))</f>
        <v>0</v>
      </c>
    </row>
    <row r="38" spans="1:5" x14ac:dyDescent="0.25">
      <c r="A38" s="76">
        <f>Character_Builder!K25</f>
        <v>0</v>
      </c>
      <c r="B38" s="25">
        <f>SUMIF(Equipment!$A$2:$A$545,Character_Builder!$K25,Equipment!$B$2:$B$545)</f>
        <v>0</v>
      </c>
      <c r="D38">
        <f t="shared" si="10"/>
        <v>0</v>
      </c>
      <c r="E38" s="92">
        <f>SUM(SUMIF(Enhancements!$G$2:$G$27,Character_Builder!#REF!,Enhancements!$H$2:$H$27),SUMIF(Enhancements!$G$2:$G$27,Character_Builder!$L25,Enhancements!$H$2:$H$27),IF(IFERROR(FIND("Ring",Character_Builder!$K25,1),0)&gt;0,0,SUMIF(Magic_Lores!$1:$1,Character_Builder!#REF!,Magic_Lores!$2:$2)*2))</f>
        <v>0</v>
      </c>
    </row>
    <row r="39" spans="1:5" x14ac:dyDescent="0.25">
      <c r="A39" s="76">
        <f>Character_Builder!K26</f>
        <v>0</v>
      </c>
      <c r="B39" s="25">
        <f>SUMIF(Equipment!$A$2:$A$545,Character_Builder!$K26,Equipment!$B$2:$B$545)</f>
        <v>0</v>
      </c>
      <c r="D39">
        <f t="shared" si="10"/>
        <v>0</v>
      </c>
      <c r="E39" s="92">
        <f>SUM(SUMIF(Enhancements!$G$2:$G$27,Character_Builder!#REF!,Enhancements!$H$2:$H$27),SUMIF(Enhancements!$G$2:$G$27,Character_Builder!$L26,Enhancements!$H$2:$H$27),IF(IFERROR(FIND("Ring",Character_Builder!$K26,1),0)&gt;0,0,SUMIF(Magic_Lores!$1:$1,Character_Builder!#REF!,Magic_Lores!$2:$2)*2))</f>
        <v>0</v>
      </c>
    </row>
    <row r="40" spans="1:5" x14ac:dyDescent="0.25">
      <c r="A40" s="76">
        <f>Character_Builder!K27</f>
        <v>0</v>
      </c>
      <c r="B40" s="25">
        <f>SUMIF(Equipment!$A$2:$A$545,Character_Builder!$K27,Equipment!$B$2:$B$545)</f>
        <v>0</v>
      </c>
      <c r="D40">
        <f t="shared" si="10"/>
        <v>0</v>
      </c>
      <c r="E40" s="92">
        <f>SUM(SUMIF(Enhancements!$G$2:$G$27,Character_Builder!#REF!,Enhancements!$H$2:$H$27),SUMIF(Enhancements!$G$2:$G$27,Character_Builder!$L27,Enhancements!$H$2:$H$27),IF(IFERROR(FIND("Ring",Character_Builder!$K27,1),0)&gt;0,0,SUMIF(Magic_Lores!$1:$1,Character_Builder!#REF!,Magic_Lores!$2:$2)*2))</f>
        <v>0</v>
      </c>
    </row>
    <row r="41" spans="1:5" x14ac:dyDescent="0.25">
      <c r="A41" s="76">
        <f>Character_Builder!K28</f>
        <v>0</v>
      </c>
      <c r="B41" s="25">
        <f>SUMIF(Equipment!$A$2:$A$545,Character_Builder!$K28,Equipment!$B$2:$B$545)</f>
        <v>0</v>
      </c>
      <c r="D41">
        <f t="shared" si="10"/>
        <v>0</v>
      </c>
      <c r="E41" s="92">
        <f>SUM(SUMIF(Enhancements!$G$2:$G$27,Character_Builder!#REF!,Enhancements!$H$2:$H$27),SUMIF(Enhancements!$G$2:$G$27,Character_Builder!$L28,Enhancements!$H$2:$H$27),IF(IFERROR(FIND("Ring",Character_Builder!$K28,1),0)&gt;0,0,SUMIF(Magic_Lores!$1:$1,Character_Builder!#REF!,Magic_Lores!$2:$2)*2))</f>
        <v>0</v>
      </c>
    </row>
    <row r="43" spans="1:5" x14ac:dyDescent="0.25">
      <c r="A43" t="s">
        <v>1175</v>
      </c>
      <c r="B43" t="s">
        <v>883</v>
      </c>
      <c r="D43" t="s">
        <v>365</v>
      </c>
      <c r="E43" t="s">
        <v>884</v>
      </c>
    </row>
    <row r="44" spans="1:5" x14ac:dyDescent="0.25">
      <c r="A44" s="76">
        <f>Character_Builder!L32</f>
        <v>0</v>
      </c>
      <c r="B44" s="25">
        <f>IFERROR(VLOOKUP(Character_Builder!$L32,Equipment!$A$2:$B$542,2,FALSE),0)</f>
        <v>0</v>
      </c>
      <c r="D44" s="76">
        <f>Character_Builder!T15</f>
        <v>0</v>
      </c>
      <c r="E44" s="92">
        <f>IFERROR(VLOOKUP(Character_Builder!$T15,Enhancements!$A$2:$B$22,2,FALSE),0)*2</f>
        <v>0</v>
      </c>
    </row>
    <row r="45" spans="1:5" x14ac:dyDescent="0.25">
      <c r="A45" s="76">
        <f>Character_Builder!L33</f>
        <v>0</v>
      </c>
      <c r="B45" s="25">
        <f>IFERROR(VLOOKUP(Character_Builder!$L33,Equipment!$A$2:$B$542,2,FALSE),0)</f>
        <v>0</v>
      </c>
      <c r="D45" s="76">
        <f>Character_Builder!T16</f>
        <v>0</v>
      </c>
      <c r="E45" s="92">
        <f>IFERROR(VLOOKUP(Character_Builder!$T16,Enhancements!$A$2:$B$22,2,FALSE),0)*2</f>
        <v>0</v>
      </c>
    </row>
    <row r="46" spans="1:5" x14ac:dyDescent="0.25">
      <c r="A46" s="76">
        <f>Character_Builder!L34</f>
        <v>0</v>
      </c>
      <c r="B46" s="25">
        <f>IFERROR(VLOOKUP(Character_Builder!$L34,Equipment!$A$2:$B$542,2,FALSE),0)</f>
        <v>0</v>
      </c>
      <c r="D46" s="76">
        <f>Character_Builder!T17</f>
        <v>0</v>
      </c>
      <c r="E46" s="92">
        <f>IFERROR(VLOOKUP(Character_Builder!$T17,Enhancements!$A$2:$B$22,2,FALSE),0)*2</f>
        <v>0</v>
      </c>
    </row>
    <row r="47" spans="1:5" x14ac:dyDescent="0.25">
      <c r="A47" s="76">
        <f>Character_Builder!L35</f>
        <v>0</v>
      </c>
      <c r="B47" s="25">
        <f>IFERROR(VLOOKUP(Character_Builder!$L35,Equipment!$A$2:$B$542,2,FALSE),0)</f>
        <v>0</v>
      </c>
      <c r="D47" s="76">
        <f>Character_Builder!T18</f>
        <v>0</v>
      </c>
      <c r="E47" s="92">
        <f>IFERROR(VLOOKUP(Character_Builder!$T18,Enhancements!$A$2:$B$22,2,FALSE),0)*2</f>
        <v>0</v>
      </c>
    </row>
    <row r="48" spans="1:5" x14ac:dyDescent="0.25">
      <c r="A48" s="76">
        <f>Character_Builder!L36</f>
        <v>0</v>
      </c>
      <c r="B48" s="25">
        <f>IFERROR(VLOOKUP(Character_Builder!$L36,Equipment!$A$2:$B$542,2,FALSE),0)</f>
        <v>0</v>
      </c>
      <c r="D48" s="76">
        <f>Character_Builder!T19</f>
        <v>0</v>
      </c>
      <c r="E48" s="92">
        <f>IFERROR(VLOOKUP(Character_Builder!$T19,Enhancements!$A$2:$B$22,2,FALSE),0)*2</f>
        <v>0</v>
      </c>
    </row>
    <row r="49" spans="1:5" x14ac:dyDescent="0.25">
      <c r="A49" s="76">
        <f>Character_Builder!L37</f>
        <v>0</v>
      </c>
      <c r="B49" s="25">
        <f>IFERROR(VLOOKUP(Character_Builder!$L37,Equipment!$A$2:$B$542,2,FALSE),0)</f>
        <v>0</v>
      </c>
      <c r="D49" s="76">
        <f>Character_Builder!T20</f>
        <v>0</v>
      </c>
      <c r="E49" s="92">
        <f>IFERROR(VLOOKUP(Character_Builder!$T20,Enhancements!$A$2:$B$22,2,FALSE),0)*2</f>
        <v>0</v>
      </c>
    </row>
    <row r="50" spans="1:5" x14ac:dyDescent="0.25">
      <c r="A50" s="76">
        <f>Character_Builder!L38</f>
        <v>0</v>
      </c>
      <c r="B50" s="25">
        <f>IFERROR(VLOOKUP(Character_Builder!$L38,Equipment!$A$2:$B$542,2,FALSE),0)</f>
        <v>0</v>
      </c>
      <c r="D50" s="76">
        <f>Character_Builder!T21</f>
        <v>0</v>
      </c>
      <c r="E50" s="92">
        <f>IFERROR(VLOOKUP(Character_Builder!$T21,Enhancements!$A$2:$B$22,2,FALSE),0)*2</f>
        <v>0</v>
      </c>
    </row>
    <row r="51" spans="1:5" x14ac:dyDescent="0.25">
      <c r="A51" s="76">
        <f>Character_Builder!L39</f>
        <v>0</v>
      </c>
      <c r="B51" s="25">
        <f>IFERROR(VLOOKUP(Character_Builder!$L39,Equipment!$A$2:$B$542,2,FALSE),0)</f>
        <v>0</v>
      </c>
      <c r="D51" s="76">
        <f>Character_Builder!T22</f>
        <v>0</v>
      </c>
      <c r="E51" s="92">
        <f>IFERROR(VLOOKUP(Character_Builder!$T22,Enhancements!$A$2:$B$22,2,FALSE),0)*2</f>
        <v>0</v>
      </c>
    </row>
    <row r="52" spans="1:5" x14ac:dyDescent="0.25">
      <c r="A52" s="76">
        <f>Character_Builder!L40</f>
        <v>0</v>
      </c>
      <c r="B52" s="25">
        <f>IFERROR(VLOOKUP(Character_Builder!$L40,Equipment!$A$2:$B$542,2,FALSE),0)</f>
        <v>0</v>
      </c>
      <c r="D52" s="76">
        <f>Character_Builder!T23</f>
        <v>0</v>
      </c>
      <c r="E52" s="92">
        <f>IFERROR(VLOOKUP(Character_Builder!$T23,Enhancements!$A$2:$B$22,2,FALSE),0)*2</f>
        <v>0</v>
      </c>
    </row>
    <row r="53" spans="1:5" x14ac:dyDescent="0.25">
      <c r="A53" s="76">
        <f>Character_Builder!L41</f>
        <v>0</v>
      </c>
      <c r="B53" s="25">
        <f>IFERROR(VLOOKUP(Character_Builder!$L41,Equipment!$A$2:$B$542,2,FALSE),0)</f>
        <v>0</v>
      </c>
      <c r="D53" s="76">
        <f>Character_Builder!T24</f>
        <v>0</v>
      </c>
      <c r="E53" s="92">
        <f>IFERROR(VLOOKUP(Character_Builder!$T24,Enhancements!$A$2:$B$22,2,FALSE),0)*2</f>
        <v>0</v>
      </c>
    </row>
    <row r="54" spans="1:5" x14ac:dyDescent="0.25">
      <c r="A54" s="76">
        <f>Character_Builder!L42</f>
        <v>0</v>
      </c>
      <c r="B54" s="25">
        <f>IFERROR(VLOOKUP(Character_Builder!$L42,Equipment!$A$2:$B$542,2,FALSE),0)</f>
        <v>0</v>
      </c>
      <c r="D54" s="76">
        <f>Character_Builder!T25</f>
        <v>0</v>
      </c>
      <c r="E54" s="92">
        <f>IFERROR(VLOOKUP(Character_Builder!$T25,Enhancements!$A$2:$B$22,2,FALSE),0)*2</f>
        <v>0</v>
      </c>
    </row>
    <row r="55" spans="1:5" x14ac:dyDescent="0.25">
      <c r="A55" s="76">
        <f>Character_Builder!L43</f>
        <v>0</v>
      </c>
      <c r="B55" s="25">
        <f>IFERROR(VLOOKUP(Character_Builder!$L43,Equipment!$A$2:$B$542,2,FALSE),0)</f>
        <v>0</v>
      </c>
      <c r="D55" s="76">
        <f>Character_Builder!T26</f>
        <v>0</v>
      </c>
      <c r="E55" s="92">
        <f>IFERROR(VLOOKUP(Character_Builder!$T26,Enhancements!$A$2:$B$22,2,FALSE),0)*2</f>
        <v>0</v>
      </c>
    </row>
    <row r="56" spans="1:5" x14ac:dyDescent="0.25">
      <c r="A56" s="76">
        <f>Character_Builder!L44</f>
        <v>0</v>
      </c>
      <c r="B56" s="25">
        <f>IFERROR(VLOOKUP(Character_Builder!$L44,Equipment!$A$2:$B$542,2,FALSE),0)</f>
        <v>0</v>
      </c>
      <c r="D56" s="76">
        <f>Character_Builder!T27</f>
        <v>0</v>
      </c>
      <c r="E56" s="92">
        <f>IFERROR(VLOOKUP(Character_Builder!$T27,Enhancements!$A$2:$B$22,2,FALSE),0)*2</f>
        <v>0</v>
      </c>
    </row>
    <row r="57" spans="1:5" x14ac:dyDescent="0.25">
      <c r="A57" s="76">
        <f>Character_Builder!L45</f>
        <v>0</v>
      </c>
      <c r="B57" s="25">
        <f>IFERROR(VLOOKUP(Character_Builder!$L45,Equipment!$A$2:$B$542,2,FALSE),0)</f>
        <v>0</v>
      </c>
      <c r="D57" s="76">
        <f>Character_Builder!T28</f>
        <v>0</v>
      </c>
      <c r="E57" s="92">
        <f>IFERROR(VLOOKUP(Character_Builder!$T28,Enhancements!$A$2:$B$22,2,FALSE),0)*2</f>
        <v>0</v>
      </c>
    </row>
    <row r="58" spans="1:5" x14ac:dyDescent="0.25">
      <c r="A58" s="76">
        <f>Character_Builder!L46</f>
        <v>0</v>
      </c>
      <c r="B58" s="25">
        <f>IFERROR(VLOOKUP(Character_Builder!$L46,Equipment!$A$2:$B$542,2,FALSE),0)</f>
        <v>0</v>
      </c>
      <c r="D58" s="76">
        <f>Character_Builder!T29</f>
        <v>0</v>
      </c>
      <c r="E58" s="92">
        <f>IFERROR(VLOOKUP(Character_Builder!$T29,Enhancements!$A$2:$B$22,2,FALSE),0)*2</f>
        <v>0</v>
      </c>
    </row>
    <row r="59" spans="1:5" x14ac:dyDescent="0.25">
      <c r="D59" s="76">
        <f>Character_Builder!T30</f>
        <v>0</v>
      </c>
      <c r="E59" s="92">
        <f>IFERROR(VLOOKUP(Character_Builder!$T30,Enhancements!$D$2:$E$20,2,FALSE),0)*2</f>
        <v>0</v>
      </c>
    </row>
    <row r="60" spans="1:5" x14ac:dyDescent="0.25">
      <c r="A60" t="s">
        <v>1174</v>
      </c>
      <c r="B60" t="s">
        <v>883</v>
      </c>
      <c r="D60" s="76">
        <f>Character_Builder!T31</f>
        <v>0</v>
      </c>
      <c r="E60" s="92">
        <f>IFERROR(VLOOKUP(Character_Builder!$T31,Enhancements!$D$2:$E$20,2,FALSE),0)*2</f>
        <v>0</v>
      </c>
    </row>
    <row r="61" spans="1:5" x14ac:dyDescent="0.25">
      <c r="A61" t="str">
        <f>Pet_Builder!C4</f>
        <v>Insert Your Pet's Name Here</v>
      </c>
      <c r="B61" s="14">
        <f>SUM(IFERROR(VLOOKUP(Pet_Builder!$D4,Equipment!$A:$B,2,FALSE),0),IFERROR(VLOOKUP(Pet_Builder!$F4,Equipment!$A$2:$B$539,2,FALSE),0),IFERROR(VLOOKUP(Pet_Builder!$H4,Equipment!$A$2:$B$539,2,FALSE),0),IFERROR(VLOOKUP(Pet_Builder!$J4,Equipment!$A$2:$B$539,2,FALSE),0),IFERROR(VLOOKUP(Pet_Builder!$L4,Equipment!$A$2:$B$539,2,FALSE),0),IFERROR(VLOOKUP(Pet_Builder!#REF!,Equipment!$A$2:$B$539,2,FALSE),0),IFERROR(VLOOKUP(Pet_Builder!#REF!,Equipment!$A$2:$B$539,2,FALSE),0),IFERROR(VLOOKUP(Pet_Builder!#REF!,Equipment!$A$2:$B$539,2,FALSE),0),IFERROR(VLOOKUP(Pet_Builder!#REF!,Equipment!$A$2:$B$539,2,FALSE),0))</f>
        <v>0</v>
      </c>
      <c r="D61" s="76">
        <f>Character_Builder!T32</f>
        <v>0</v>
      </c>
      <c r="E61" s="92">
        <f>IFERROR(VLOOKUP(Character_Builder!$T32,Enhancements!$D$2:$E$20,2,FALSE),0)*2</f>
        <v>0</v>
      </c>
    </row>
    <row r="62" spans="1:5" x14ac:dyDescent="0.25">
      <c r="A62">
        <f>Pet_Builder!C5</f>
        <v>0</v>
      </c>
      <c r="B62" s="14">
        <f>SUM(IFERROR(VLOOKUP(Pet_Builder!$D5,Equipment!$A:$B,2,FALSE),0),IFERROR(VLOOKUP(Pet_Builder!$F5,Equipment!$A$2:$B$539,2,FALSE),0),IFERROR(VLOOKUP(Pet_Builder!$H5,Equipment!$A$2:$B$539,2,FALSE),0),IFERROR(VLOOKUP(Pet_Builder!$J5,Equipment!$A$2:$B$539,2,FALSE),0),IFERROR(VLOOKUP(Pet_Builder!$L5,Equipment!$A$2:$B$539,2,FALSE),0),IFERROR(VLOOKUP(Pet_Builder!#REF!,Equipment!$A$2:$B$539,2,FALSE),0),IFERROR(VLOOKUP(Pet_Builder!#REF!,Equipment!$A$2:$B$539,2,FALSE),0),IFERROR(VLOOKUP(Pet_Builder!#REF!,Equipment!$A$2:$B$539,2,FALSE),0),IFERROR(VLOOKUP(Pet_Builder!#REF!,Equipment!$A$2:$B$539,2,FALSE),0))</f>
        <v>0</v>
      </c>
      <c r="D62" s="76">
        <f>Character_Builder!T33</f>
        <v>0</v>
      </c>
      <c r="E62" s="92">
        <f>IFERROR(VLOOKUP(Character_Builder!$T33,Enhancements!$D$2:$E$20,2,FALSE),0)*2</f>
        <v>0</v>
      </c>
    </row>
    <row r="63" spans="1:5" x14ac:dyDescent="0.25">
      <c r="A63">
        <f>Pet_Builder!C6</f>
        <v>0</v>
      </c>
      <c r="B63" s="14">
        <f>SUM(IFERROR(VLOOKUP(Pet_Builder!$D6,Equipment!$A:$B,2,FALSE),0),IFERROR(VLOOKUP(Pet_Builder!$F6,Equipment!$A$2:$B$539,2,FALSE),0),IFERROR(VLOOKUP(Pet_Builder!$H6,Equipment!$A$2:$B$539,2,FALSE),0),IFERROR(VLOOKUP(Pet_Builder!$J6,Equipment!$A$2:$B$539,2,FALSE),0),IFERROR(VLOOKUP(Pet_Builder!$L6,Equipment!$A$2:$B$539,2,FALSE),0),IFERROR(VLOOKUP(Pet_Builder!#REF!,Equipment!$A$2:$B$539,2,FALSE),0),IFERROR(VLOOKUP(Pet_Builder!#REF!,Equipment!$A$2:$B$539,2,FALSE),0),IFERROR(VLOOKUP(Pet_Builder!#REF!,Equipment!$A$2:$B$539,2,FALSE),0),IFERROR(VLOOKUP(Pet_Builder!#REF!,Equipment!$A$2:$B$539,2,FALSE),0))</f>
        <v>0</v>
      </c>
      <c r="D63" s="76">
        <f>Character_Builder!T34</f>
        <v>0</v>
      </c>
      <c r="E63" s="92">
        <f>IFERROR(VLOOKUP(Character_Builder!$T34,Enhancements!$D$2:$E$20,2,FALSE),0)*2</f>
        <v>0</v>
      </c>
    </row>
    <row r="64" spans="1:5" x14ac:dyDescent="0.25">
      <c r="A64">
        <f>Pet_Builder!C7</f>
        <v>0</v>
      </c>
      <c r="B64" s="14">
        <f>SUM(IFERROR(VLOOKUP(Pet_Builder!$D7,Equipment!$A:$B,2,FALSE),0),IFERROR(VLOOKUP(Pet_Builder!$F7,Equipment!$A$2:$B$539,2,FALSE),0),IFERROR(VLOOKUP(Pet_Builder!$H7,Equipment!$A$2:$B$539,2,FALSE),0),IFERROR(VLOOKUP(Pet_Builder!$J7,Equipment!$A$2:$B$539,2,FALSE),0),IFERROR(VLOOKUP(Pet_Builder!$L7,Equipment!$A$2:$B$539,2,FALSE),0),IFERROR(VLOOKUP(Pet_Builder!#REF!,Equipment!$A$2:$B$539,2,FALSE),0),IFERROR(VLOOKUP(Pet_Builder!#REF!,Equipment!$A$2:$B$539,2,FALSE),0),IFERROR(VLOOKUP(Pet_Builder!#REF!,Equipment!$A$2:$B$539,2,FALSE),0),IFERROR(VLOOKUP(Pet_Builder!#REF!,Equipment!$A$2:$B$539,2,FALSE),0))</f>
        <v>0</v>
      </c>
      <c r="D64" s="76">
        <f>Character_Builder!T35</f>
        <v>0</v>
      </c>
      <c r="E64" s="92">
        <f>IFERROR(VLOOKUP(Character_Builder!$T35,Enhancements!$D$2:$E$20,2,FALSE),0)*2</f>
        <v>0</v>
      </c>
    </row>
    <row r="65" spans="1:5" x14ac:dyDescent="0.25">
      <c r="A65">
        <f>Pet_Builder!C8</f>
        <v>0</v>
      </c>
      <c r="B65" s="14">
        <f>SUM(IFERROR(VLOOKUP(Pet_Builder!$D8,Equipment!$A:$B,2,FALSE),0),IFERROR(VLOOKUP(Pet_Builder!$F8,Equipment!$A$2:$B$539,2,FALSE),0),IFERROR(VLOOKUP(Pet_Builder!$H8,Equipment!$A$2:$B$539,2,FALSE),0),IFERROR(VLOOKUP(Pet_Builder!$J8,Equipment!$A$2:$B$539,2,FALSE),0),IFERROR(VLOOKUP(Pet_Builder!$L8,Equipment!$A$2:$B$539,2,FALSE),0),IFERROR(VLOOKUP(Pet_Builder!#REF!,Equipment!$A$2:$B$539,2,FALSE),0),IFERROR(VLOOKUP(Pet_Builder!#REF!,Equipment!$A$2:$B$539,2,FALSE),0),IFERROR(VLOOKUP(Pet_Builder!#REF!,Equipment!$A$2:$B$539,2,FALSE),0),IFERROR(VLOOKUP(Pet_Builder!#REF!,Equipment!$A$2:$B$539,2,FALSE),0))</f>
        <v>0</v>
      </c>
      <c r="D65" s="76">
        <f>Character_Builder!T36</f>
        <v>0</v>
      </c>
      <c r="E65" s="92">
        <f>IFERROR(VLOOKUP(Character_Builder!$T36,Enhancements!$D$2:$E$20,2,FALSE),0)*2</f>
        <v>0</v>
      </c>
    </row>
    <row r="66" spans="1:5" x14ac:dyDescent="0.25">
      <c r="A66">
        <f>Pet_Builder!C9</f>
        <v>0</v>
      </c>
      <c r="B66" s="14">
        <f>SUM(IFERROR(VLOOKUP(Pet_Builder!$D9,Equipment!$A:$B,2,FALSE),0),IFERROR(VLOOKUP(Pet_Builder!$F9,Equipment!$A$2:$B$539,2,FALSE),0),IFERROR(VLOOKUP(Pet_Builder!$H9,Equipment!$A$2:$B$539,2,FALSE),0),IFERROR(VLOOKUP(Pet_Builder!$J9,Equipment!$A$2:$B$539,2,FALSE),0),IFERROR(VLOOKUP(Pet_Builder!$L9,Equipment!$A$2:$B$539,2,FALSE),0),IFERROR(VLOOKUP(Pet_Builder!#REF!,Equipment!$A$2:$B$539,2,FALSE),0),IFERROR(VLOOKUP(Pet_Builder!#REF!,Equipment!$A$2:$B$539,2,FALSE),0),IFERROR(VLOOKUP(Pet_Builder!#REF!,Equipment!$A$2:$B$539,2,FALSE),0),IFERROR(VLOOKUP(Pet_Builder!#REF!,Equipment!$A$2:$B$539,2,FALSE),0))</f>
        <v>0</v>
      </c>
      <c r="D66" s="76">
        <f>Character_Builder!T37</f>
        <v>0</v>
      </c>
      <c r="E66" s="92">
        <f>IFERROR(VLOOKUP(Character_Builder!$T37,Enhancements!$D$2:$E$20,2,FALSE),0)*2</f>
        <v>0</v>
      </c>
    </row>
    <row r="67" spans="1:5" x14ac:dyDescent="0.25">
      <c r="A67">
        <f>Pet_Builder!C10</f>
        <v>0</v>
      </c>
      <c r="B67" s="14">
        <f>SUM(IFERROR(VLOOKUP(Pet_Builder!$D10,Equipment!$A:$B,2,FALSE),0),IFERROR(VLOOKUP(Pet_Builder!$F10,Equipment!$A$2:$B$539,2,FALSE),0),IFERROR(VLOOKUP(Pet_Builder!$H10,Equipment!$A$2:$B$539,2,FALSE),0),IFERROR(VLOOKUP(Pet_Builder!$J10,Equipment!$A$2:$B$539,2,FALSE),0),IFERROR(VLOOKUP(Pet_Builder!$L10,Equipment!$A$2:$B$539,2,FALSE),0),IFERROR(VLOOKUP(Pet_Builder!#REF!,Equipment!$A$2:$B$539,2,FALSE),0),IFERROR(VLOOKUP(Pet_Builder!#REF!,Equipment!$A$2:$B$539,2,FALSE),0),IFERROR(VLOOKUP(Pet_Builder!#REF!,Equipment!$A$2:$B$539,2,FALSE),0),IFERROR(VLOOKUP(Pet_Builder!#REF!,Equipment!$A$2:$B$539,2,FALSE),0))</f>
        <v>0</v>
      </c>
      <c r="D67" s="76">
        <f>Character_Builder!T38</f>
        <v>0</v>
      </c>
      <c r="E67" s="92">
        <f>IFERROR(VLOOKUP(Character_Builder!$T38,Enhancements!$D$2:$E$20,2,FALSE),0)*2</f>
        <v>0</v>
      </c>
    </row>
    <row r="68" spans="1:5" x14ac:dyDescent="0.25">
      <c r="A68">
        <f>Pet_Builder!C11</f>
        <v>0</v>
      </c>
      <c r="B68" s="14">
        <f>SUM(IFERROR(VLOOKUP(Pet_Builder!$D11,Equipment!$A:$B,2,FALSE),0),IFERROR(VLOOKUP(Pet_Builder!$F11,Equipment!$A$2:$B$539,2,FALSE),0),IFERROR(VLOOKUP(Pet_Builder!$H11,Equipment!$A$2:$B$539,2,FALSE),0),IFERROR(VLOOKUP(Pet_Builder!$J11,Equipment!$A$2:$B$539,2,FALSE),0),IFERROR(VLOOKUP(Pet_Builder!$L11,Equipment!$A$2:$B$539,2,FALSE),0),IFERROR(VLOOKUP(Pet_Builder!#REF!,Equipment!$A$2:$B$539,2,FALSE),0),IFERROR(VLOOKUP(Pet_Builder!#REF!,Equipment!$A$2:$B$539,2,FALSE),0),IFERROR(VLOOKUP(Pet_Builder!#REF!,Equipment!$A$2:$B$539,2,FALSE),0),IFERROR(VLOOKUP(Pet_Builder!#REF!,Equipment!$A$2:$B$539,2,FALSE),0))</f>
        <v>0</v>
      </c>
      <c r="D68" s="76">
        <f>Character_Builder!T39</f>
        <v>0</v>
      </c>
      <c r="E68" s="92">
        <f>IFERROR(VLOOKUP(Character_Builder!$T39,Enhancements!$D$2:$E$20,2,FALSE),0)*2</f>
        <v>0</v>
      </c>
    </row>
    <row r="69" spans="1:5" x14ac:dyDescent="0.25">
      <c r="A69">
        <f>Pet_Builder!C12</f>
        <v>0</v>
      </c>
      <c r="B69" s="14">
        <f>SUM(IFERROR(VLOOKUP(Pet_Builder!$D12,Equipment!$A:$B,2,FALSE),0),IFERROR(VLOOKUP(Pet_Builder!$F12,Equipment!$A$2:$B$539,2,FALSE),0),IFERROR(VLOOKUP(Pet_Builder!$H12,Equipment!$A$2:$B$539,2,FALSE),0),IFERROR(VLOOKUP(Pet_Builder!$J12,Equipment!$A$2:$B$539,2,FALSE),0),IFERROR(VLOOKUP(Pet_Builder!$L12,Equipment!$A$2:$B$539,2,FALSE),0),IFERROR(VLOOKUP(Pet_Builder!#REF!,Equipment!$A$2:$B$539,2,FALSE),0),IFERROR(VLOOKUP(Pet_Builder!#REF!,Equipment!$A$2:$B$539,2,FALSE),0),IFERROR(VLOOKUP(Pet_Builder!#REF!,Equipment!$A$2:$B$539,2,FALSE),0),IFERROR(VLOOKUP(Pet_Builder!#REF!,Equipment!$A$2:$B$539,2,FALSE),0))</f>
        <v>0</v>
      </c>
      <c r="D69" s="76">
        <f>Character_Builder!T40</f>
        <v>0</v>
      </c>
      <c r="E69" s="92">
        <f>IFERROR(VLOOKUP(Character_Builder!$T40,Enhancements!$D$2:$E$20,2,FALSE),0)*2</f>
        <v>0</v>
      </c>
    </row>
    <row r="70" spans="1:5" x14ac:dyDescent="0.25">
      <c r="A70">
        <f>Pet_Builder!C13</f>
        <v>0</v>
      </c>
      <c r="B70" s="14">
        <f>SUM(IFERROR(VLOOKUP(Pet_Builder!$D13,Equipment!$A:$B,2,FALSE),0),IFERROR(VLOOKUP(Pet_Builder!$F13,Equipment!$A$2:$B$539,2,FALSE),0),IFERROR(VLOOKUP(Pet_Builder!$H13,Equipment!$A$2:$B$539,2,FALSE),0),IFERROR(VLOOKUP(Pet_Builder!$J13,Equipment!$A$2:$B$539,2,FALSE),0),IFERROR(VLOOKUP(Pet_Builder!$L13,Equipment!$A$2:$B$539,2,FALSE),0),IFERROR(VLOOKUP(Pet_Builder!#REF!,Equipment!$A$2:$B$539,2,FALSE),0),IFERROR(VLOOKUP(Pet_Builder!#REF!,Equipment!$A$2:$B$539,2,FALSE),0),IFERROR(VLOOKUP(Pet_Builder!#REF!,Equipment!$A$2:$B$539,2,FALSE),0),IFERROR(VLOOKUP(Pet_Builder!#REF!,Equipment!$A$2:$B$539,2,FALSE),0))</f>
        <v>0</v>
      </c>
      <c r="D70" s="76">
        <f>Character_Builder!T41</f>
        <v>0</v>
      </c>
      <c r="E70" s="92">
        <f>IFERROR(VLOOKUP(Character_Builder!$T41,Enhancements!$D$2:$E$20,2,FALSE),0)*2</f>
        <v>0</v>
      </c>
    </row>
    <row r="71" spans="1:5" x14ac:dyDescent="0.25">
      <c r="D71" s="76">
        <f>Character_Builder!T42</f>
        <v>0</v>
      </c>
      <c r="E71" s="92">
        <f>IFERROR(VLOOKUP(Character_Builder!$T42,Enhancements!$D$2:$E$20,2,FALSE),0)*2</f>
        <v>0</v>
      </c>
    </row>
    <row r="72" spans="1:5" x14ac:dyDescent="0.25">
      <c r="D72" s="76">
        <f>Character_Builder!T43</f>
        <v>0</v>
      </c>
      <c r="E72" s="92">
        <f>IFERROR(VLOOKUP(Character_Builder!$T43,Enhancements!$D$2:$E$20,2,FALSE),0)*2</f>
        <v>0</v>
      </c>
    </row>
    <row r="73" spans="1:5" x14ac:dyDescent="0.25">
      <c r="D73" s="76">
        <f>Character_Builder!T44</f>
        <v>0</v>
      </c>
      <c r="E73" s="92">
        <f>IFERROR(VLOOKUP(Character_Builder!$T44,Enhancements!$D$2:$E$20,2,FALSE),0)*2</f>
        <v>0</v>
      </c>
    </row>
    <row r="75" spans="1:5" x14ac:dyDescent="0.25">
      <c r="D75" t="s">
        <v>1180</v>
      </c>
      <c r="E75" t="s">
        <v>884</v>
      </c>
    </row>
    <row r="76" spans="1:5" x14ac:dyDescent="0.25">
      <c r="D76" s="76">
        <f>Character_Builder!O16</f>
        <v>0</v>
      </c>
      <c r="E76" s="92">
        <f>IF(Character_Builder!Q16&lt;=5,Character_Builder!Q16^2,5^2+(Character_Builder!Q16-5)*10)</f>
        <v>0</v>
      </c>
    </row>
    <row r="77" spans="1:5" x14ac:dyDescent="0.25">
      <c r="D77" s="76">
        <f>Character_Builder!O17</f>
        <v>0</v>
      </c>
      <c r="E77" s="92">
        <f>IF(Character_Builder!Q17&lt;=5,Character_Builder!Q17^2,5^2+(Character_Builder!Q17-5)*10)</f>
        <v>0</v>
      </c>
    </row>
    <row r="78" spans="1:5" x14ac:dyDescent="0.25">
      <c r="D78" s="76">
        <f>Character_Builder!O18</f>
        <v>0</v>
      </c>
      <c r="E78" s="92">
        <f>IF(Character_Builder!Q18&lt;=5,Character_Builder!Q18^2,5^2+(Character_Builder!Q18-5)*10)</f>
        <v>0</v>
      </c>
    </row>
    <row r="79" spans="1:5" x14ac:dyDescent="0.25">
      <c r="D79" s="76">
        <f>Character_Builder!O19</f>
        <v>0</v>
      </c>
      <c r="E79" s="92">
        <f>IF(Character_Builder!Q19&lt;=5,Character_Builder!Q19^2,5^2+(Character_Builder!Q19-5)*10)</f>
        <v>0</v>
      </c>
    </row>
    <row r="80" spans="1:5" x14ac:dyDescent="0.25">
      <c r="D80" s="76">
        <f>Character_Builder!O20</f>
        <v>0</v>
      </c>
      <c r="E80" s="92">
        <f>IF(Character_Builder!Q20&lt;=5,Character_Builder!Q20^2,5^2+(Character_Builder!Q20-5)*10)</f>
        <v>0</v>
      </c>
    </row>
    <row r="81" spans="4:5" x14ac:dyDescent="0.25">
      <c r="D81" s="76">
        <f>Character_Builder!O21</f>
        <v>0</v>
      </c>
      <c r="E81" s="92">
        <f>IF(Character_Builder!Q21&lt;=5,Character_Builder!Q21^2,5^2+(Character_Builder!Q21-5)*10)</f>
        <v>0</v>
      </c>
    </row>
    <row r="82" spans="4:5" x14ac:dyDescent="0.25">
      <c r="D82" s="76">
        <f>Character_Builder!O22</f>
        <v>0</v>
      </c>
      <c r="E82" s="92">
        <f>IF(Character_Builder!Q22&lt;=5,Character_Builder!Q22^2,5^2+(Character_Builder!Q22-5)*10)</f>
        <v>0</v>
      </c>
    </row>
    <row r="83" spans="4:5" x14ac:dyDescent="0.25">
      <c r="D83" s="76">
        <f>Character_Builder!O23</f>
        <v>0</v>
      </c>
      <c r="E83" s="92">
        <f>IF(Character_Builder!Q23&lt;=5,Character_Builder!Q23^2,5^2+(Character_Builder!Q23-5)*10)</f>
        <v>0</v>
      </c>
    </row>
    <row r="84" spans="4:5" x14ac:dyDescent="0.25">
      <c r="D84" s="76">
        <f>Character_Builder!O24</f>
        <v>0</v>
      </c>
      <c r="E84" s="92">
        <f>IF(Character_Builder!Q24&lt;=5,Character_Builder!Q24^2,5^2+(Character_Builder!Q24-5)*10)</f>
        <v>0</v>
      </c>
    </row>
    <row r="85" spans="4:5" x14ac:dyDescent="0.25">
      <c r="D85" s="76">
        <f>Character_Builder!O25</f>
        <v>0</v>
      </c>
      <c r="E85" s="92">
        <f>IF(Character_Builder!Q25&lt;=5,Character_Builder!Q25^2,5^2+(Character_Builder!Q25-5)*10)</f>
        <v>0</v>
      </c>
    </row>
    <row r="86" spans="4:5" x14ac:dyDescent="0.25">
      <c r="D86" s="76">
        <f>Character_Builder!O26</f>
        <v>0</v>
      </c>
      <c r="E86" s="92">
        <f>IF(Character_Builder!Q26&lt;=5,Character_Builder!Q26^2,5^2+(Character_Builder!Q26-5)*10)</f>
        <v>0</v>
      </c>
    </row>
    <row r="87" spans="4:5" x14ac:dyDescent="0.25">
      <c r="D87" s="76">
        <f>Character_Builder!O27</f>
        <v>0</v>
      </c>
      <c r="E87" s="92">
        <f>IF(Character_Builder!Q27&lt;=5,Character_Builder!Q27^2,5^2+(Character_Builder!Q27-5)*10)</f>
        <v>0</v>
      </c>
    </row>
    <row r="88" spans="4:5" x14ac:dyDescent="0.25">
      <c r="D88" s="76">
        <f>Character_Builder!O28</f>
        <v>0</v>
      </c>
      <c r="E88" s="92">
        <f>IF(Character_Builder!Q28&lt;=5,Character_Builder!Q28^2,5^2+(Character_Builder!Q28-5)*10)</f>
        <v>0</v>
      </c>
    </row>
    <row r="89" spans="4:5" x14ac:dyDescent="0.25">
      <c r="D89" s="76">
        <f>Character_Builder!O29</f>
        <v>0</v>
      </c>
      <c r="E89" s="92">
        <f>IF(Character_Builder!Q29&lt;=5,Character_Builder!Q29^2,5^2+(Character_Builder!Q29-5)*10)</f>
        <v>0</v>
      </c>
    </row>
    <row r="90" spans="4:5" x14ac:dyDescent="0.25">
      <c r="D90" s="76">
        <f>Character_Builder!O30</f>
        <v>0</v>
      </c>
      <c r="E90" s="92">
        <f>IF(Character_Builder!Q30&lt;=5,Character_Builder!Q30^2,5^2+(Character_Builder!Q30-5)*10)</f>
        <v>0</v>
      </c>
    </row>
    <row r="91" spans="4:5" x14ac:dyDescent="0.25">
      <c r="D91" s="76">
        <f>Character_Builder!O31</f>
        <v>0</v>
      </c>
      <c r="E91" s="92">
        <f>IF(Character_Builder!Q31&lt;=5,Character_Builder!Q31^2,5^2+(Character_Builder!Q31-5)*10)</f>
        <v>0</v>
      </c>
    </row>
    <row r="92" spans="4:5" x14ac:dyDescent="0.25">
      <c r="D92" s="76">
        <f>Character_Builder!O32</f>
        <v>0</v>
      </c>
      <c r="E92" s="92">
        <f>IF(Character_Builder!Q32&lt;=5,Character_Builder!Q32^2,5^2+(Character_Builder!Q32-5)*10)</f>
        <v>0</v>
      </c>
    </row>
    <row r="93" spans="4:5" x14ac:dyDescent="0.25">
      <c r="D93" s="76">
        <f>Character_Builder!O33</f>
        <v>0</v>
      </c>
      <c r="E93" s="92">
        <f>IF(Character_Builder!Q33&lt;=5,Character_Builder!Q33^2,5^2+(Character_Builder!Q33-5)*10)</f>
        <v>0</v>
      </c>
    </row>
    <row r="94" spans="4:5" x14ac:dyDescent="0.25">
      <c r="D94" s="76">
        <f>Character_Builder!O34</f>
        <v>0</v>
      </c>
      <c r="E94" s="92">
        <f>IF(Character_Builder!Q34&lt;=5,Character_Builder!Q34^2,5^2+(Character_Builder!Q34-5)*10)</f>
        <v>0</v>
      </c>
    </row>
    <row r="95" spans="4:5" x14ac:dyDescent="0.25">
      <c r="D95" s="76">
        <f>Character_Builder!O35</f>
        <v>0</v>
      </c>
      <c r="E95" s="92">
        <f>IF(Character_Builder!Q35&lt;=5,Character_Builder!Q35^2,5^2+(Character_Builder!Q35-5)*10)</f>
        <v>0</v>
      </c>
    </row>
    <row r="97" spans="4:5" x14ac:dyDescent="0.25">
      <c r="D97" t="s">
        <v>366</v>
      </c>
      <c r="E97" t="s">
        <v>884</v>
      </c>
    </row>
    <row r="98" spans="4:5" x14ac:dyDescent="0.25">
      <c r="D98" s="76">
        <f>Character_Builder!Y15</f>
        <v>0</v>
      </c>
      <c r="E98" s="92" t="str">
        <f>IFERROR(HLOOKUP(Character_Builder!$Y15,Magic_Lores!$A$1:$ES$3,MATCH(Magic_Lores!$A$2,Magic_Lores!$A$1:$A$3,0),FALSE)*2,"")</f>
        <v/>
      </c>
    </row>
    <row r="99" spans="4:5" x14ac:dyDescent="0.25">
      <c r="D99" s="76">
        <f>Character_Builder!Y16</f>
        <v>0</v>
      </c>
      <c r="E99" s="92" t="str">
        <f>IFERROR(IF(IFERROR(FIND("Yes",#REF!,1),0)&gt;0,0,HLOOKUP(Character_Builder!$Y16,Magic_Lores!$A$1:$ES$3,MATCH(Magic_Lores!$A$2,Magic_Lores!$A$1:$A$3,0),FALSE)*2),"")</f>
        <v/>
      </c>
    </row>
    <row r="100" spans="4:5" x14ac:dyDescent="0.25">
      <c r="D100" s="76">
        <f>Character_Builder!Y17</f>
        <v>0</v>
      </c>
      <c r="E100" s="92" t="str">
        <f>IFERROR(IF(IFERROR(FIND("Yes",#REF!,1),0)&gt;0,0,HLOOKUP(Character_Builder!$Y17,Magic_Lores!$A$1:$ES$3,MATCH(Magic_Lores!$A$2,Magic_Lores!$A$1:$A$3,0),FALSE)*2),"")</f>
        <v/>
      </c>
    </row>
    <row r="101" spans="4:5" x14ac:dyDescent="0.25">
      <c r="D101" s="76">
        <f>Character_Builder!Y18</f>
        <v>0</v>
      </c>
      <c r="E101" s="92" t="str">
        <f>IFERROR(IF(IFERROR(FIND("Yes",#REF!,1),0)&gt;0,0,HLOOKUP(Character_Builder!$Y18,Magic_Lores!$A$1:$ES$3,MATCH(Magic_Lores!$A$2,Magic_Lores!$A$1:$A$3,0),FALSE)*2),"")</f>
        <v/>
      </c>
    </row>
    <row r="102" spans="4:5" x14ac:dyDescent="0.25">
      <c r="D102" s="76">
        <f>Character_Builder!Y19</f>
        <v>0</v>
      </c>
      <c r="E102" s="92" t="str">
        <f>IFERROR(IF(IFERROR(FIND("Yes",#REF!,1),0)&gt;0,0,HLOOKUP(Character_Builder!$Y19,Magic_Lores!$A$1:$ES$3,MATCH(Magic_Lores!$A$2,Magic_Lores!$A$1:$A$3,0),FALSE)*2),"")</f>
        <v/>
      </c>
    </row>
    <row r="103" spans="4:5" x14ac:dyDescent="0.25">
      <c r="D103" s="76">
        <f>Character_Builder!Y20</f>
        <v>0</v>
      </c>
      <c r="E103" s="92" t="str">
        <f>IFERROR(IF(IFERROR(FIND("Yes",#REF!,1),0)&gt;0,0,HLOOKUP(Character_Builder!$Y20,Magic_Lores!$A$1:$ES$3,MATCH(Magic_Lores!$A$2,Magic_Lores!$A$1:$A$3,0),FALSE)*2),"")</f>
        <v/>
      </c>
    </row>
    <row r="104" spans="4:5" x14ac:dyDescent="0.25">
      <c r="D104" s="76">
        <f>Character_Builder!Y21</f>
        <v>0</v>
      </c>
      <c r="E104" s="92" t="str">
        <f>IFERROR(IF(IFERROR(FIND("Yes",#REF!,1),0)&gt;0,0,HLOOKUP(Character_Builder!$Y21,Magic_Lores!$A$1:$ES$3,MATCH(Magic_Lores!$A$2,Magic_Lores!$A$1:$A$3,0),FALSE)*2),"")</f>
        <v/>
      </c>
    </row>
    <row r="105" spans="4:5" x14ac:dyDescent="0.25">
      <c r="D105" s="76">
        <f>Character_Builder!Y22</f>
        <v>0</v>
      </c>
      <c r="E105" s="92" t="str">
        <f>IFERROR(IF(IFERROR(FIND("Yes",#REF!,1),0)&gt;0,0,HLOOKUP(Character_Builder!$Y22,Magic_Lores!$A$1:$ES$3,MATCH(Magic_Lores!$A$2,Magic_Lores!$A$1:$A$3,0),FALSE)*2),"")</f>
        <v/>
      </c>
    </row>
    <row r="106" spans="4:5" x14ac:dyDescent="0.25">
      <c r="D106" s="76">
        <f>Character_Builder!Y23</f>
        <v>0</v>
      </c>
      <c r="E106" s="92" t="str">
        <f>IFERROR(IF(IFERROR(FIND("Yes",#REF!,1),0)&gt;0,0,HLOOKUP(Character_Builder!$Y23,Magic_Lores!$A$1:$ES$3,MATCH(Magic_Lores!$A$2,Magic_Lores!$A$1:$A$3,0),FALSE)*2),"")</f>
        <v/>
      </c>
    </row>
    <row r="107" spans="4:5" x14ac:dyDescent="0.25">
      <c r="D107" s="76">
        <f>Character_Builder!Y24</f>
        <v>0</v>
      </c>
      <c r="E107" s="92" t="str">
        <f>IFERROR(IF(IFERROR(FIND("Yes",#REF!,1),0)&gt;0,0,HLOOKUP(Character_Builder!$Y24,Magic_Lores!$A$1:$ES$3,MATCH(Magic_Lores!$A$2,Magic_Lores!$A$1:$A$3,0),FALSE)*2),"")</f>
        <v/>
      </c>
    </row>
    <row r="108" spans="4:5" x14ac:dyDescent="0.25">
      <c r="D108" s="76">
        <f>Character_Builder!Y25</f>
        <v>0</v>
      </c>
      <c r="E108" s="92" t="str">
        <f>IFERROR(IF(IFERROR(FIND("Yes",#REF!,1),0)&gt;0,0,HLOOKUP(Character_Builder!$Y25,Magic_Lores!$A$1:$ES$3,MATCH(Magic_Lores!$A$2,Magic_Lores!$A$1:$A$3,0),FALSE)*2),"")</f>
        <v/>
      </c>
    </row>
    <row r="109" spans="4:5" x14ac:dyDescent="0.25">
      <c r="D109" s="76">
        <f>Character_Builder!Y26</f>
        <v>0</v>
      </c>
      <c r="E109" s="92" t="str">
        <f>IFERROR(IF(IFERROR(FIND("Yes",#REF!,1),0)&gt;0,0,HLOOKUP(Character_Builder!$Y26,Magic_Lores!$A$1:$ES$3,MATCH(Magic_Lores!$A$2,Magic_Lores!$A$1:$A$3,0),FALSE)*2),"")</f>
        <v/>
      </c>
    </row>
    <row r="110" spans="4:5" x14ac:dyDescent="0.25">
      <c r="D110" s="76">
        <f>Character_Builder!Y27</f>
        <v>0</v>
      </c>
      <c r="E110" s="92" t="str">
        <f>IFERROR(IF(IFERROR(FIND("Yes",#REF!,1),0)&gt;0,0,HLOOKUP(Character_Builder!$Y27,Magic_Lores!$A$1:$ES$3,MATCH(Magic_Lores!$A$2,Magic_Lores!$A$1:$A$3,0),FALSE)*2),"")</f>
        <v/>
      </c>
    </row>
    <row r="111" spans="4:5" x14ac:dyDescent="0.25">
      <c r="D111" s="76">
        <f>Character_Builder!Y28</f>
        <v>0</v>
      </c>
      <c r="E111" s="92" t="str">
        <f>IFERROR(IF(IFERROR(FIND("Yes",#REF!,1),0)&gt;0,0,HLOOKUP(Character_Builder!$Y28,Magic_Lores!$A$1:$ES$3,MATCH(Magic_Lores!$A$2,Magic_Lores!$A$1:$A$3,0),FALSE)*2),"")</f>
        <v/>
      </c>
    </row>
    <row r="112" spans="4:5" x14ac:dyDescent="0.25">
      <c r="D112" s="76">
        <f>Character_Builder!Y29</f>
        <v>0</v>
      </c>
      <c r="E112" s="92" t="str">
        <f>IFERROR(IF(IFERROR(FIND("Yes",#REF!,1),0)&gt;0,0,HLOOKUP(Character_Builder!$Y29,Magic_Lores!$A$1:$ES$3,MATCH(Magic_Lores!$A$2,Magic_Lores!$A$1:$A$3,0),FALSE)*2),"")</f>
        <v/>
      </c>
    </row>
    <row r="113" spans="4:5" x14ac:dyDescent="0.25">
      <c r="D113" s="76">
        <f>Character_Builder!Y30</f>
        <v>0</v>
      </c>
      <c r="E113" s="92" t="str">
        <f>IFERROR(IF(IFERROR(FIND("Yes",#REF!,1),0)&gt;0,0,HLOOKUP(Character_Builder!$Y30,Magic_Lores!$A$1:$ES$3,MATCH(Magic_Lores!$A$2,Magic_Lores!$A$1:$A$3,0),FALSE)*2),"")</f>
        <v/>
      </c>
    </row>
    <row r="114" spans="4:5" x14ac:dyDescent="0.25">
      <c r="D114" s="76">
        <f>Character_Builder!Y31</f>
        <v>0</v>
      </c>
      <c r="E114" s="92" t="str">
        <f>IFERROR(IF(IFERROR(FIND("Yes",#REF!,1),0)&gt;0,0,HLOOKUP(Character_Builder!$Y31,Magic_Lores!$A$1:$ES$3,MATCH(Magic_Lores!$A$2,Magic_Lores!$A$1:$A$3,0),FALSE)*2),"")</f>
        <v/>
      </c>
    </row>
    <row r="115" spans="4:5" x14ac:dyDescent="0.25">
      <c r="D115" s="76">
        <f>Character_Builder!Y32</f>
        <v>0</v>
      </c>
      <c r="E115" s="92" t="str">
        <f>IFERROR(IF(IFERROR(FIND("Yes",#REF!,1),0)&gt;0,0,HLOOKUP(Character_Builder!$Y32,Magic_Lores!$A$1:$ES$3,MATCH(Magic_Lores!$A$2,Magic_Lores!$A$1:$A$3,0),FALSE)*2),"")</f>
        <v/>
      </c>
    </row>
    <row r="116" spans="4:5" x14ac:dyDescent="0.25">
      <c r="D116" s="76">
        <f>Character_Builder!Y33</f>
        <v>0</v>
      </c>
      <c r="E116" s="92" t="str">
        <f>IFERROR(IF(IFERROR(FIND("Yes",#REF!,1),0)&gt;0,0,HLOOKUP(Character_Builder!$Y33,Magic_Lores!$A$1:$ES$3,MATCH(Magic_Lores!$A$2,Magic_Lores!$A$1:$A$3,0),FALSE)*2),"")</f>
        <v/>
      </c>
    </row>
    <row r="117" spans="4:5" x14ac:dyDescent="0.25">
      <c r="D117" s="76">
        <f>Character_Builder!Y34</f>
        <v>0</v>
      </c>
      <c r="E117" s="92" t="str">
        <f>IFERROR(IF(IFERROR(FIND("Yes",#REF!,1),0)&gt;0,0,HLOOKUP(Character_Builder!$Y34,Magic_Lores!$A$1:$ES$3,MATCH(Magic_Lores!$A$2,Magic_Lores!$A$1:$A$3,0),FALSE)*2),"")</f>
        <v/>
      </c>
    </row>
    <row r="118" spans="4:5" x14ac:dyDescent="0.25">
      <c r="D118" s="76">
        <f>Character_Builder!Y35</f>
        <v>0</v>
      </c>
      <c r="E118" s="92" t="str">
        <f>IFERROR(IF(IFERROR(FIND("Yes",#REF!,1),0)&gt;0,0,HLOOKUP(Character_Builder!$Y35,Magic_Lores!$A$1:$ES$3,MATCH(Magic_Lores!$A$2,Magic_Lores!$A$1:$A$3,0),FALSE)*2),"")</f>
        <v/>
      </c>
    </row>
    <row r="119" spans="4:5" x14ac:dyDescent="0.25">
      <c r="D119" s="76">
        <f>Character_Builder!Y36</f>
        <v>0</v>
      </c>
      <c r="E119" s="92" t="str">
        <f>IFERROR(IF(IFERROR(FIND("Yes",#REF!,1),0)&gt;0,0,HLOOKUP(Character_Builder!$Y36,Magic_Lores!$A$1:$ES$3,MATCH(Magic_Lores!$A$2,Magic_Lores!$A$1:$A$3,0),FALSE)*2),"")</f>
        <v/>
      </c>
    </row>
    <row r="120" spans="4:5" x14ac:dyDescent="0.25">
      <c r="D120" s="76">
        <f>Character_Builder!Y37</f>
        <v>0</v>
      </c>
      <c r="E120" s="92" t="str">
        <f>IFERROR(IF(IFERROR(FIND("Yes",#REF!,1),0)&gt;0,0,HLOOKUP(Character_Builder!$Y37,Magic_Lores!$A$1:$ES$3,MATCH(Magic_Lores!$A$2,Magic_Lores!$A$1:$A$3,0),FALSE)*2),"")</f>
        <v/>
      </c>
    </row>
    <row r="121" spans="4:5" x14ac:dyDescent="0.25">
      <c r="D121" s="76">
        <f>Character_Builder!Y38</f>
        <v>0</v>
      </c>
      <c r="E121" s="92" t="str">
        <f>IFERROR(IF(IFERROR(FIND("Yes",#REF!,1),0)&gt;0,0,HLOOKUP(Character_Builder!$Y38,Magic_Lores!$A$1:$ES$3,MATCH(Magic_Lores!$A$2,Magic_Lores!$A$1:$A$3,0),FALSE)*2),"")</f>
        <v/>
      </c>
    </row>
    <row r="122" spans="4:5" x14ac:dyDescent="0.25">
      <c r="D122" s="76">
        <f>Character_Builder!Y39</f>
        <v>0</v>
      </c>
      <c r="E122" s="92" t="str">
        <f>IFERROR(IF(IFERROR(FIND("Yes",#REF!,1),0)&gt;0,0,HLOOKUP(Character_Builder!$Y39,Magic_Lores!$A$1:$ES$3,MATCH(Magic_Lores!$A$2,Magic_Lores!$A$1:$A$3,0),FALSE)*2),"")</f>
        <v/>
      </c>
    </row>
    <row r="123" spans="4:5" x14ac:dyDescent="0.25">
      <c r="D123" s="76">
        <f>Character_Builder!Y40</f>
        <v>0</v>
      </c>
      <c r="E123" s="92" t="str">
        <f>IFERROR(IF(IFERROR(FIND("Yes",#REF!,1),0)&gt;0,0,HLOOKUP(Character_Builder!$Y40,Magic_Lores!$A$1:$ES$3,MATCH(Magic_Lores!$A$2,Magic_Lores!$A$1:$A$3,0),FALSE)*2),"")</f>
        <v/>
      </c>
    </row>
    <row r="124" spans="4:5" x14ac:dyDescent="0.25">
      <c r="D124" s="76">
        <f>Character_Builder!Y41</f>
        <v>0</v>
      </c>
      <c r="E124" s="92" t="str">
        <f>IFERROR(IF(IFERROR(FIND("Yes",#REF!,1),0)&gt;0,0,HLOOKUP(Character_Builder!$Y41,Magic_Lores!$A$1:$ES$3,MATCH(Magic_Lores!$A$2,Magic_Lores!$A$1:$A$3,0),FALSE)*2),"")</f>
        <v/>
      </c>
    </row>
    <row r="125" spans="4:5" x14ac:dyDescent="0.25">
      <c r="D125" s="76">
        <f>Character_Builder!Y42</f>
        <v>0</v>
      </c>
      <c r="E125" s="92" t="str">
        <f>IFERROR(IF(IFERROR(FIND("Yes",#REF!,1),0)&gt;0,0,HLOOKUP(Character_Builder!$Y42,Magic_Lores!$A$1:$ES$3,MATCH(Magic_Lores!$A$2,Magic_Lores!$A$1:$A$3,0),FALSE)*2),"")</f>
        <v/>
      </c>
    </row>
    <row r="126" spans="4:5" x14ac:dyDescent="0.25">
      <c r="D126" s="76">
        <f>Character_Builder!Y43</f>
        <v>0</v>
      </c>
      <c r="E126" s="92" t="str">
        <f>IFERROR(IF(IFERROR(FIND("Yes",#REF!,1),0)&gt;0,0,HLOOKUP(Character_Builder!$Y43,Magic_Lores!$A$1:$ES$3,MATCH(Magic_Lores!$A$2,Magic_Lores!$A$1:$A$3,0),FALSE)*2),"")</f>
        <v/>
      </c>
    </row>
    <row r="127" spans="4:5" x14ac:dyDescent="0.25">
      <c r="D127" s="76">
        <f>Character_Builder!Y44</f>
        <v>0</v>
      </c>
      <c r="E127" s="92" t="str">
        <f>IFERROR(IF(IFERROR(FIND("Yes",#REF!,1),0)&gt;0,0,HLOOKUP(Character_Builder!$Y44,Magic_Lores!$A$1:$ES$3,MATCH(Magic_Lores!$A$2,Magic_Lores!$A$1:$A$3,0),FALSE)*2),"")</f>
        <v/>
      </c>
    </row>
    <row r="129" spans="4:5" x14ac:dyDescent="0.25">
      <c r="D129" t="s">
        <v>1016</v>
      </c>
      <c r="E129" t="s">
        <v>884</v>
      </c>
    </row>
    <row r="130" spans="4:5" x14ac:dyDescent="0.25">
      <c r="D130" s="77">
        <f>Character_Builder!AC36</f>
        <v>0</v>
      </c>
      <c r="E130" s="92">
        <f>IFERROR(VLOOKUP(Character_Builder!$AC36,Enhancements!$J$2:$K$22,2,FALSE),0)</f>
        <v>0</v>
      </c>
    </row>
    <row r="131" spans="4:5" x14ac:dyDescent="0.25">
      <c r="D131" s="77">
        <f>Character_Builder!AC37</f>
        <v>0</v>
      </c>
      <c r="E131" s="92">
        <f>IFERROR(VLOOKUP(Character_Builder!$AC37,Enhancements!$J$2:$K$22,2,FALSE),0)</f>
        <v>0</v>
      </c>
    </row>
    <row r="132" spans="4:5" x14ac:dyDescent="0.25">
      <c r="D132" s="77">
        <f>Character_Builder!AC38</f>
        <v>0</v>
      </c>
      <c r="E132" s="92">
        <f>IFERROR(VLOOKUP(Character_Builder!$AC38,Enhancements!$J$2:$K$22,2,FALSE),0)</f>
        <v>0</v>
      </c>
    </row>
    <row r="133" spans="4:5" x14ac:dyDescent="0.25">
      <c r="D133" s="77">
        <f>Character_Builder!AC39</f>
        <v>0</v>
      </c>
      <c r="E133" s="92">
        <f>IFERROR(VLOOKUP(Character_Builder!$AC39,Enhancements!$J$2:$K$22,2,FALSE),0)</f>
        <v>0</v>
      </c>
    </row>
    <row r="134" spans="4:5" x14ac:dyDescent="0.25">
      <c r="D134" s="77">
        <f>Character_Builder!AC40</f>
        <v>0</v>
      </c>
      <c r="E134" s="92">
        <f>IFERROR(VLOOKUP(Character_Builder!$AC40,Enhancements!$J$2:$K$22,2,FALSE),0)</f>
        <v>0</v>
      </c>
    </row>
    <row r="135" spans="4:5" x14ac:dyDescent="0.25">
      <c r="D135" s="77">
        <f>Character_Builder!AC41</f>
        <v>0</v>
      </c>
      <c r="E135" s="92">
        <f>IFERROR(VLOOKUP(Character_Builder!$AC41,Enhancements!$J$2:$K$22,2,FALSE),0)</f>
        <v>0</v>
      </c>
    </row>
    <row r="136" spans="4:5" x14ac:dyDescent="0.25">
      <c r="D136" s="77">
        <f>Character_Builder!AC42</f>
        <v>0</v>
      </c>
      <c r="E136" s="92">
        <f>IFERROR(VLOOKUP(Character_Builder!$AC42,Enhancements!$J$2:$K$22,2,FALSE),0)</f>
        <v>0</v>
      </c>
    </row>
    <row r="137" spans="4:5" x14ac:dyDescent="0.25">
      <c r="D137" s="77">
        <f>Character_Builder!AC43</f>
        <v>0</v>
      </c>
      <c r="E137" s="92">
        <f>IFERROR(VLOOKUP(Character_Builder!$AC43,Enhancements!$J$2:$K$22,2,FALSE),0)</f>
        <v>0</v>
      </c>
    </row>
    <row r="139" spans="4:5" x14ac:dyDescent="0.25">
      <c r="D139" t="s">
        <v>752</v>
      </c>
      <c r="E139" t="s">
        <v>884</v>
      </c>
    </row>
    <row r="140" spans="4:5" x14ac:dyDescent="0.25">
      <c r="D140" s="76">
        <f>Character_Builder!AC25</f>
        <v>0</v>
      </c>
      <c r="E140" s="92">
        <f>IFERROR(2*VLOOKUP(Character_Builder!$AC25,Enhancements!$J$2:$K$22,2,FALSE),0)</f>
        <v>0</v>
      </c>
    </row>
    <row r="141" spans="4:5" x14ac:dyDescent="0.25">
      <c r="D141" s="76">
        <f>Character_Builder!AC26</f>
        <v>0</v>
      </c>
      <c r="E141" s="92">
        <f>IFERROR(2*VLOOKUP(Character_Builder!$AC26,Enhancements!$J$2:$K$22,2,FALSE),0)</f>
        <v>0</v>
      </c>
    </row>
    <row r="142" spans="4:5" x14ac:dyDescent="0.25">
      <c r="D142" s="76">
        <f>Character_Builder!AC27</f>
        <v>0</v>
      </c>
      <c r="E142" s="92">
        <f>IFERROR(2*VLOOKUP(Character_Builder!$AC27,Enhancements!$J$2:$K$22,2,FALSE),0)</f>
        <v>0</v>
      </c>
    </row>
    <row r="143" spans="4:5" x14ac:dyDescent="0.25">
      <c r="D143" s="76">
        <f>Character_Builder!AC28</f>
        <v>0</v>
      </c>
      <c r="E143" s="92">
        <f>IFERROR(2*VLOOKUP(Character_Builder!$AC28,Enhancements!$J$2:$K$22,2,FALSE),0)</f>
        <v>0</v>
      </c>
    </row>
    <row r="144" spans="4:5" x14ac:dyDescent="0.25">
      <c r="D144" s="76">
        <f>Character_Builder!AC29</f>
        <v>0</v>
      </c>
      <c r="E144" s="92">
        <f>IFERROR(2*VLOOKUP(Character_Builder!$AC29,Enhancements!$J$2:$K$22,2,FALSE),0)</f>
        <v>0</v>
      </c>
    </row>
    <row r="145" spans="4:5" x14ac:dyDescent="0.25">
      <c r="D145" s="76">
        <f>Character_Builder!AC30</f>
        <v>0</v>
      </c>
      <c r="E145" s="92">
        <f>IFERROR(2*VLOOKUP(Character_Builder!$AC30,Enhancements!$J$2:$K$22,2,FALSE),0)</f>
        <v>0</v>
      </c>
    </row>
    <row r="146" spans="4:5" x14ac:dyDescent="0.25">
      <c r="D146" s="76">
        <f>Character_Builder!AC31</f>
        <v>0</v>
      </c>
      <c r="E146" s="92">
        <f>IFERROR(2*VLOOKUP(Character_Builder!$AC31,Enhancements!$J$2:$K$22,2,FALSE),0)</f>
        <v>0</v>
      </c>
    </row>
    <row r="147" spans="4:5" x14ac:dyDescent="0.25">
      <c r="D147" s="76">
        <f>Character_Builder!AC32</f>
        <v>0</v>
      </c>
      <c r="E147" s="92">
        <f>IFERROR(2*VLOOKUP(Character_Builder!$AC32,Enhancements!$J$2:$K$22,2,FALSE),0)</f>
        <v>0</v>
      </c>
    </row>
    <row r="149" spans="4:5" x14ac:dyDescent="0.25">
      <c r="D149" t="s">
        <v>1178</v>
      </c>
      <c r="E149" t="s">
        <v>884</v>
      </c>
    </row>
    <row r="150" spans="4:5" x14ac:dyDescent="0.25">
      <c r="D150" t="s">
        <v>889</v>
      </c>
      <c r="E150" s="92">
        <f>Character_Builder!AC16*15</f>
        <v>0</v>
      </c>
    </row>
    <row r="151" spans="4:5" x14ac:dyDescent="0.25">
      <c r="D151" t="s">
        <v>894</v>
      </c>
      <c r="E151" s="92">
        <f>Character_Builder!AC20</f>
        <v>0</v>
      </c>
    </row>
    <row r="152" spans="4:5" x14ac:dyDescent="0.25">
      <c r="D152" t="s">
        <v>895</v>
      </c>
      <c r="E152" s="92">
        <f>Character_Builder!AC21</f>
        <v>0</v>
      </c>
    </row>
    <row r="154" spans="4:5" x14ac:dyDescent="0.25">
      <c r="D154" t="s">
        <v>1181</v>
      </c>
      <c r="E154" t="s">
        <v>884</v>
      </c>
    </row>
    <row r="155" spans="4:5" x14ac:dyDescent="0.25">
      <c r="D155" t="str">
        <f>A61</f>
        <v>Insert Your Pet's Name Here</v>
      </c>
      <c r="E155" s="92">
        <f>SUM(IFERROR(VLOOKUP(Pet_Builder!$G4,Enhancements!$G$2:$H$27,2,FALSE),0),IFERROR(VLOOKUP(Pet_Builder!$I4,Enhancements!$G$2:$H$27,2,FALSE),0),IFERROR(VLOOKUP(Pet_Builder!$E4,Enhancements!$G$2:$H$27,2,FALSE),0),IFERROR(VLOOKUP(Pet_Builder!$K4,Enhancements!$G$2:$H$27,2,FALSE),0),Pet_Builder!$D17^2)</f>
        <v>0</v>
      </c>
    </row>
    <row r="156" spans="4:5" x14ac:dyDescent="0.25">
      <c r="D156">
        <f t="shared" ref="D156:D164" si="11">A62</f>
        <v>0</v>
      </c>
      <c r="E156" s="92">
        <f>SUM(IFERROR(VLOOKUP(Pet_Builder!$G5,Enhancements!$G$2:$H$27,2,FALSE),0),IFERROR(VLOOKUP(Pet_Builder!$I5,Enhancements!$G$2:$H$27,2,FALSE),0),IFERROR(VLOOKUP(Pet_Builder!$E5,Enhancements!$G$2:$H$27,2,FALSE),0),IFERROR(VLOOKUP(Pet_Builder!$K5,Enhancements!$G$2:$H$27,2,FALSE),0),Pet_Builder!$D18^2)</f>
        <v>0</v>
      </c>
    </row>
    <row r="157" spans="4:5" x14ac:dyDescent="0.25">
      <c r="D157">
        <f t="shared" si="11"/>
        <v>0</v>
      </c>
      <c r="E157" s="92">
        <f>SUM(IFERROR(VLOOKUP(Pet_Builder!$G6,Enhancements!$G$2:$H$27,2,FALSE),0),IFERROR(VLOOKUP(Pet_Builder!$I6,Enhancements!$G$2:$H$27,2,FALSE),0),IFERROR(VLOOKUP(Pet_Builder!$E6,Enhancements!$G$2:$H$27,2,FALSE),0),IFERROR(VLOOKUP(Pet_Builder!$K6,Enhancements!$G$2:$H$27,2,FALSE),0),Pet_Builder!$D19^2)</f>
        <v>0</v>
      </c>
    </row>
    <row r="158" spans="4:5" x14ac:dyDescent="0.25">
      <c r="D158">
        <f t="shared" si="11"/>
        <v>0</v>
      </c>
      <c r="E158" s="92">
        <f>SUM(IFERROR(VLOOKUP(Pet_Builder!$G7,Enhancements!$G$2:$H$27,2,FALSE),0),IFERROR(VLOOKUP(Pet_Builder!$I7,Enhancements!$G$2:$H$27,2,FALSE),0),IFERROR(VLOOKUP(Pet_Builder!$E7,Enhancements!$G$2:$H$27,2,FALSE),0),IFERROR(VLOOKUP(Pet_Builder!$K7,Enhancements!$G$2:$H$27,2,FALSE),0),Pet_Builder!$D20^2)</f>
        <v>0</v>
      </c>
    </row>
    <row r="159" spans="4:5" x14ac:dyDescent="0.25">
      <c r="D159">
        <f t="shared" si="11"/>
        <v>0</v>
      </c>
      <c r="E159" s="92">
        <f>SUM(IFERROR(VLOOKUP(Pet_Builder!$G8,Enhancements!$G$2:$H$27,2,FALSE),0),IFERROR(VLOOKUP(Pet_Builder!$I8,Enhancements!$G$2:$H$27,2,FALSE),0),IFERROR(VLOOKUP(Pet_Builder!$E8,Enhancements!$G$2:$H$27,2,FALSE),0),IFERROR(VLOOKUP(Pet_Builder!$K8,Enhancements!$G$2:$H$27,2,FALSE),0),Pet_Builder!$D21^2)</f>
        <v>0</v>
      </c>
    </row>
    <row r="160" spans="4:5" x14ac:dyDescent="0.25">
      <c r="D160">
        <f t="shared" si="11"/>
        <v>0</v>
      </c>
      <c r="E160" s="92">
        <f>SUM(IFERROR(VLOOKUP(Pet_Builder!$G9,Enhancements!$G$2:$H$27,2,FALSE),0),IFERROR(VLOOKUP(Pet_Builder!$I9,Enhancements!$G$2:$H$27,2,FALSE),0),IFERROR(VLOOKUP(Pet_Builder!$E9,Enhancements!$G$2:$H$27,2,FALSE),0),IFERROR(VLOOKUP(Pet_Builder!$K9,Enhancements!$G$2:$H$27,2,FALSE),0),Pet_Builder!$D22^2)</f>
        <v>0</v>
      </c>
    </row>
    <row r="161" spans="4:5" x14ac:dyDescent="0.25">
      <c r="D161">
        <f t="shared" si="11"/>
        <v>0</v>
      </c>
      <c r="E161" s="92">
        <f>SUM(IFERROR(VLOOKUP(Pet_Builder!$G10,Enhancements!$G$2:$H$27,2,FALSE),0),IFERROR(VLOOKUP(Pet_Builder!$I10,Enhancements!$G$2:$H$27,2,FALSE),0),IFERROR(VLOOKUP(Pet_Builder!$E10,Enhancements!$G$2:$H$27,2,FALSE),0),IFERROR(VLOOKUP(Pet_Builder!$K10,Enhancements!$G$2:$H$27,2,FALSE),0),Pet_Builder!$D23^2)</f>
        <v>0</v>
      </c>
    </row>
    <row r="162" spans="4:5" x14ac:dyDescent="0.25">
      <c r="D162">
        <f t="shared" si="11"/>
        <v>0</v>
      </c>
      <c r="E162" s="92">
        <f>SUM(IFERROR(VLOOKUP(Pet_Builder!$G11,Enhancements!$G$2:$H$27,2,FALSE),0),IFERROR(VLOOKUP(Pet_Builder!$I11,Enhancements!$G$2:$H$27,2,FALSE),0),IFERROR(VLOOKUP(Pet_Builder!$E11,Enhancements!$G$2:$H$27,2,FALSE),0),IFERROR(VLOOKUP(Pet_Builder!$K11,Enhancements!$G$2:$H$27,2,FALSE),0),Pet_Builder!$D24^2)</f>
        <v>0</v>
      </c>
    </row>
    <row r="163" spans="4:5" x14ac:dyDescent="0.25">
      <c r="D163">
        <f t="shared" si="11"/>
        <v>0</v>
      </c>
      <c r="E163" s="92">
        <f>SUM(IFERROR(VLOOKUP(Pet_Builder!$G12,Enhancements!$G$2:$H$27,2,FALSE),0),IFERROR(VLOOKUP(Pet_Builder!$I12,Enhancements!$G$2:$H$27,2,FALSE),0),IFERROR(VLOOKUP(Pet_Builder!$E12,Enhancements!$G$2:$H$27,2,FALSE),0),IFERROR(VLOOKUP(Pet_Builder!$K12,Enhancements!$G$2:$H$27,2,FALSE),0),Pet_Builder!$D25^2)</f>
        <v>0</v>
      </c>
    </row>
    <row r="164" spans="4:5" x14ac:dyDescent="0.25">
      <c r="D164">
        <f t="shared" si="11"/>
        <v>0</v>
      </c>
      <c r="E164" s="92">
        <f>SUM(IFERROR(VLOOKUP(Pet_Builder!$G13,Enhancements!$G$2:$H$27,2,FALSE),0),IFERROR(VLOOKUP(Pet_Builder!$I13,Enhancements!$G$2:$H$27,2,FALSE),0),IFERROR(VLOOKUP(Pet_Builder!$E13,Enhancements!$G$2:$H$27,2,FALSE),0),IFERROR(VLOOKUP(Pet_Builder!$K13,Enhancements!$G$2:$H$27,2,FALSE),0),Pet_Builder!$D26^2)</f>
        <v>0</v>
      </c>
    </row>
  </sheetData>
  <sheetProtection algorithmName="SHA-512" hashValue="1FtTffBSGmRsOzYMusgJJrrN934/22iWS8hZezme3r1mF1YXOunhOe/ZA4hEbc9nshWr2F7GQ8JmtY1dvMbMOA==" saltValue="4Fxt7Zbnz7QClxJPtfQKK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W191"/>
  <sheetViews>
    <sheetView zoomScale="55" zoomScaleNormal="55" workbookViewId="0">
      <pane ySplit="1" topLeftCell="A2" activePane="bottomLeft" state="frozen"/>
      <selection activeCell="I1" sqref="I1"/>
      <selection pane="bottomLeft" activeCell="I9" sqref="I9"/>
    </sheetView>
  </sheetViews>
  <sheetFormatPr defaultRowHeight="15" x14ac:dyDescent="0.25"/>
  <cols>
    <col min="1" max="1" width="36.28515625" bestFit="1" customWidth="1"/>
    <col min="2" max="2" width="6.42578125" bestFit="1" customWidth="1"/>
    <col min="3" max="3" width="5.85546875" bestFit="1" customWidth="1"/>
    <col min="4" max="4" width="6.42578125" bestFit="1" customWidth="1"/>
    <col min="5" max="5" width="26.85546875" bestFit="1" customWidth="1"/>
    <col min="6" max="7" width="4.7109375" customWidth="1"/>
    <col min="8" max="8" width="31" bestFit="1" customWidth="1"/>
    <col min="9" max="9" width="26.7109375" bestFit="1" customWidth="1"/>
    <col min="10" max="10" width="6.85546875" bestFit="1" customWidth="1"/>
    <col min="11" max="11" width="8.140625" bestFit="1" customWidth="1"/>
    <col min="12" max="12" width="10.7109375" customWidth="1"/>
    <col min="13" max="13" width="4.7109375" customWidth="1"/>
  </cols>
  <sheetData>
    <row r="1" spans="1:23" ht="15.75" x14ac:dyDescent="0.25">
      <c r="A1" s="6" t="s">
        <v>631</v>
      </c>
      <c r="C1" s="7" t="s">
        <v>7</v>
      </c>
      <c r="D1" s="7" t="s">
        <v>8</v>
      </c>
      <c r="E1" s="7" t="s">
        <v>1187</v>
      </c>
      <c r="F1" t="s">
        <v>335</v>
      </c>
      <c r="H1" s="7" t="s">
        <v>1186</v>
      </c>
      <c r="I1" s="7" t="s">
        <v>1216</v>
      </c>
      <c r="J1" s="15" t="s">
        <v>304</v>
      </c>
      <c r="K1" s="16" t="s">
        <v>305</v>
      </c>
      <c r="O1" t="s">
        <v>1211</v>
      </c>
      <c r="P1" t="s">
        <v>1188</v>
      </c>
      <c r="Q1" t="s">
        <v>1189</v>
      </c>
      <c r="R1" t="s">
        <v>1190</v>
      </c>
      <c r="S1" t="s">
        <v>1191</v>
      </c>
      <c r="T1" t="s">
        <v>1192</v>
      </c>
    </row>
    <row r="2" spans="1:23" ht="15.75" x14ac:dyDescent="0.25">
      <c r="A2" s="44" t="s">
        <v>369</v>
      </c>
      <c r="B2" s="45" t="s">
        <v>3</v>
      </c>
      <c r="C2" s="7">
        <v>1</v>
      </c>
      <c r="D2" s="7">
        <v>4</v>
      </c>
      <c r="E2" s="7" t="str">
        <f>"Character_Data!Q"&amp;(C2+1)&amp;":Q"&amp;D2+1</f>
        <v>Character_Data!Q2:Q5</v>
      </c>
      <c r="F2">
        <f>IF(COUNTIF($A$1:$A2,$A2)&gt;1,"",MAX($F$1:$F1)+1)</f>
        <v>1</v>
      </c>
      <c r="H2" t="str">
        <f>A2&amp;B2</f>
        <v>Alopen (Padfoot)STR</v>
      </c>
      <c r="I2" t="s">
        <v>1227</v>
      </c>
      <c r="J2" s="19" t="s">
        <v>303</v>
      </c>
      <c r="K2" s="17">
        <f>14*3</f>
        <v>42</v>
      </c>
      <c r="L2" s="7"/>
      <c r="M2" s="7">
        <v>1</v>
      </c>
      <c r="N2" t="str">
        <f>IFERROR(HLOOKUP($A$1,$A:$F,MATCH($M2,$F:$F,0),FALSE),"")</f>
        <v>Alopen (Padfoot)</v>
      </c>
      <c r="O2">
        <f>IFERROR(VLOOKUP($M2,$F:$G,2,FALSE),0)</f>
        <v>0</v>
      </c>
      <c r="P2">
        <v>3</v>
      </c>
      <c r="Q2" t="str">
        <f t="shared" ref="Q2:Q10" si="0">IF(($W$17-$W$18+$W$12)&gt;=$W2,$V2,"")</f>
        <v>1D</v>
      </c>
      <c r="R2" t="str">
        <f t="shared" ref="R2:R10" si="1">IF(($W$17-$W$18+$W$13)&gt;=$W2,$V2,"")</f>
        <v>1D</v>
      </c>
      <c r="S2" t="str">
        <f t="shared" ref="S2:S10" si="2">IF(($W$17-$W$18+$W$14)&gt;=$W2,$V2,"")</f>
        <v>1D</v>
      </c>
      <c r="T2" t="str">
        <f t="shared" ref="T2:T10" si="3">IF(($W$17-$W$18+$W$15)&gt;=$W2,$V2,"")</f>
        <v>1D</v>
      </c>
      <c r="V2" t="s">
        <v>914</v>
      </c>
      <c r="W2">
        <v>3</v>
      </c>
    </row>
    <row r="3" spans="1:23" ht="15.75" x14ac:dyDescent="0.25">
      <c r="A3" s="44" t="s">
        <v>369</v>
      </c>
      <c r="B3" s="45" t="s">
        <v>4</v>
      </c>
      <c r="C3" s="7">
        <v>3</v>
      </c>
      <c r="D3" s="7">
        <v>6</v>
      </c>
      <c r="E3" s="7" t="str">
        <f>"Character_Data!R"&amp;(C3+1)&amp;":R"&amp;D3+1</f>
        <v>Character_Data!R4:R7</v>
      </c>
      <c r="F3" t="str">
        <f>IF(COUNTIF($A$1:$A3,$A3)&gt;1,"",MAX($F$1:$F2)+1)</f>
        <v/>
      </c>
      <c r="H3" t="str">
        <f t="shared" ref="H3:H66" si="4">A3&amp;B3</f>
        <v>Alopen (Padfoot)FIN</v>
      </c>
      <c r="I3" t="s">
        <v>1227</v>
      </c>
      <c r="J3" s="19" t="s">
        <v>298</v>
      </c>
      <c r="K3" s="17">
        <f>11*3</f>
        <v>33</v>
      </c>
      <c r="L3" s="7"/>
      <c r="M3" s="7">
        <v>2</v>
      </c>
      <c r="N3" t="str">
        <f t="shared" ref="N3:N51" si="5">IFERROR(HLOOKUP($A$1,$A:$F,MATCH($M3,$F:$F,0),FALSE),"")</f>
        <v>Alopen (Trickster)</v>
      </c>
      <c r="O3">
        <f t="shared" ref="O3:O51" si="6">IFERROR(VLOOKUP($M3,$F:$G,2,FALSE),0)</f>
        <v>0</v>
      </c>
      <c r="P3">
        <v>6</v>
      </c>
      <c r="Q3" t="str">
        <f t="shared" si="0"/>
        <v>2D</v>
      </c>
      <c r="R3" t="str">
        <f t="shared" si="1"/>
        <v>2D</v>
      </c>
      <c r="S3" t="str">
        <f t="shared" si="2"/>
        <v>2D</v>
      </c>
      <c r="T3" t="str">
        <f t="shared" si="3"/>
        <v>2D</v>
      </c>
      <c r="V3" t="s">
        <v>915</v>
      </c>
      <c r="W3">
        <v>6</v>
      </c>
    </row>
    <row r="4" spans="1:23" ht="16.5" thickBot="1" x14ac:dyDescent="0.3">
      <c r="A4" s="44" t="s">
        <v>369</v>
      </c>
      <c r="B4" s="45" t="s">
        <v>5</v>
      </c>
      <c r="C4" s="7">
        <v>2</v>
      </c>
      <c r="D4" s="7">
        <v>5</v>
      </c>
      <c r="E4" s="7" t="str">
        <f>"Character_Data!S"&amp;(C4+1)&amp;":S"&amp;D4+1</f>
        <v>Character_Data!S3:S6</v>
      </c>
      <c r="F4" t="str">
        <f>IF(COUNTIF($A$1:$A4,$A4)&gt;1,"",MAX($F$1:$F3)+1)</f>
        <v/>
      </c>
      <c r="H4" t="str">
        <f t="shared" si="4"/>
        <v>Alopen (Padfoot)CRM</v>
      </c>
      <c r="I4" t="s">
        <v>1227</v>
      </c>
      <c r="J4" s="20" t="s">
        <v>300</v>
      </c>
      <c r="K4" s="18">
        <f>9*3</f>
        <v>27</v>
      </c>
      <c r="L4" s="7"/>
      <c r="M4" s="7">
        <v>3</v>
      </c>
      <c r="N4" t="str">
        <f t="shared" si="5"/>
        <v>Centaur (Augur)</v>
      </c>
      <c r="O4">
        <f t="shared" si="6"/>
        <v>0</v>
      </c>
      <c r="P4">
        <v>9</v>
      </c>
      <c r="Q4" t="str">
        <f t="shared" si="0"/>
        <v>3D</v>
      </c>
      <c r="R4" t="str">
        <f t="shared" si="1"/>
        <v>3D</v>
      </c>
      <c r="S4" t="str">
        <f t="shared" si="2"/>
        <v/>
      </c>
      <c r="T4" t="str">
        <f t="shared" si="3"/>
        <v>3D</v>
      </c>
      <c r="V4" t="s">
        <v>919</v>
      </c>
      <c r="W4">
        <v>9</v>
      </c>
    </row>
    <row r="5" spans="1:23" ht="16.5" thickBot="1" x14ac:dyDescent="0.3">
      <c r="A5" s="44" t="s">
        <v>369</v>
      </c>
      <c r="B5" s="45" t="s">
        <v>6</v>
      </c>
      <c r="C5" s="7">
        <v>1</v>
      </c>
      <c r="D5" s="7">
        <v>4</v>
      </c>
      <c r="E5" s="7" t="str">
        <f>"Character_Data!T"&amp;(C5+1)&amp;":T"&amp;D5+1</f>
        <v>Character_Data!T2:T5</v>
      </c>
      <c r="F5" t="str">
        <f>IF(COUNTIF($A$1:$A5,$A5)&gt;1,"",MAX($F$1:$F4)+1)</f>
        <v/>
      </c>
      <c r="H5" t="str">
        <f t="shared" si="4"/>
        <v>Alopen (Padfoot)LOR</v>
      </c>
      <c r="I5" t="s">
        <v>1227</v>
      </c>
      <c r="L5" s="7"/>
      <c r="M5" s="7">
        <v>4</v>
      </c>
      <c r="N5" t="str">
        <f t="shared" si="5"/>
        <v>Centaur (Sentinel)</v>
      </c>
      <c r="O5">
        <f t="shared" si="6"/>
        <v>0</v>
      </c>
      <c r="P5">
        <v>12</v>
      </c>
      <c r="Q5" t="str">
        <f t="shared" si="0"/>
        <v>4D</v>
      </c>
      <c r="R5" t="str">
        <f t="shared" si="1"/>
        <v>4D</v>
      </c>
      <c r="S5" t="str">
        <f t="shared" si="2"/>
        <v/>
      </c>
      <c r="T5" t="str">
        <f t="shared" si="3"/>
        <v>4D</v>
      </c>
      <c r="V5" t="s">
        <v>918</v>
      </c>
      <c r="W5">
        <v>12</v>
      </c>
    </row>
    <row r="6" spans="1:23" ht="15.75" x14ac:dyDescent="0.25">
      <c r="A6" s="44" t="s">
        <v>370</v>
      </c>
      <c r="B6" s="45" t="s">
        <v>3</v>
      </c>
      <c r="C6" s="7">
        <v>1</v>
      </c>
      <c r="D6" s="7">
        <v>4</v>
      </c>
      <c r="E6" s="7" t="str">
        <f>"Character_Data!Q"&amp;(C6+1)&amp;":Q"&amp;D6+1</f>
        <v>Character_Data!Q2:Q5</v>
      </c>
      <c r="F6">
        <f>IF(COUNTIF($A$1:$A6,$A6)&gt;1,"",MAX($F$1:$F5)+1)</f>
        <v>2</v>
      </c>
      <c r="H6" t="str">
        <f t="shared" si="4"/>
        <v>Alopen (Trickster)STR</v>
      </c>
      <c r="I6" t="s">
        <v>1227</v>
      </c>
      <c r="J6" s="15" t="s">
        <v>901</v>
      </c>
      <c r="K6" s="97" t="s">
        <v>634</v>
      </c>
      <c r="L6" s="16" t="s">
        <v>898</v>
      </c>
      <c r="M6" s="7">
        <v>5</v>
      </c>
      <c r="N6" t="str">
        <f t="shared" si="5"/>
        <v>Dawnwraith (Singer)</v>
      </c>
      <c r="O6">
        <f t="shared" si="6"/>
        <v>0</v>
      </c>
      <c r="P6">
        <v>15</v>
      </c>
      <c r="Q6" t="str">
        <f t="shared" si="0"/>
        <v/>
      </c>
      <c r="R6" t="str">
        <f t="shared" si="1"/>
        <v/>
      </c>
      <c r="S6" t="str">
        <f t="shared" si="2"/>
        <v/>
      </c>
      <c r="T6" t="str">
        <f t="shared" si="3"/>
        <v/>
      </c>
      <c r="V6" t="s">
        <v>917</v>
      </c>
      <c r="W6">
        <v>15</v>
      </c>
    </row>
    <row r="7" spans="1:23" ht="15.75" x14ac:dyDescent="0.25">
      <c r="A7" s="44" t="s">
        <v>370</v>
      </c>
      <c r="B7" s="45" t="s">
        <v>4</v>
      </c>
      <c r="C7" s="7">
        <v>3</v>
      </c>
      <c r="D7" s="7">
        <v>5</v>
      </c>
      <c r="E7" s="7" t="str">
        <f>"Character_Data!R"&amp;(C7+1)&amp;":R"&amp;D7+1</f>
        <v>Character_Data!R4:R6</v>
      </c>
      <c r="F7" t="str">
        <f>IF(COUNTIF($A$1:$A7,$A7)&gt;1,"",MAX($F$1:$F6)+1)</f>
        <v/>
      </c>
      <c r="H7" t="str">
        <f t="shared" si="4"/>
        <v>Alopen (Trickster)FIN</v>
      </c>
      <c r="I7" t="s">
        <v>1227</v>
      </c>
      <c r="J7" s="19" t="s">
        <v>902</v>
      </c>
      <c r="K7" s="29"/>
      <c r="L7" s="17">
        <v>1</v>
      </c>
      <c r="M7" s="7">
        <v>6</v>
      </c>
      <c r="N7" t="str">
        <f t="shared" si="5"/>
        <v>Dawnwraith (Slinker)</v>
      </c>
      <c r="O7">
        <f t="shared" si="6"/>
        <v>0</v>
      </c>
      <c r="P7">
        <v>18</v>
      </c>
      <c r="Q7" t="str">
        <f t="shared" si="0"/>
        <v/>
      </c>
      <c r="R7" t="str">
        <f t="shared" si="1"/>
        <v/>
      </c>
      <c r="S7" t="str">
        <f t="shared" si="2"/>
        <v/>
      </c>
      <c r="T7" t="str">
        <f t="shared" si="3"/>
        <v/>
      </c>
      <c r="V7" t="s">
        <v>916</v>
      </c>
      <c r="W7">
        <v>18</v>
      </c>
    </row>
    <row r="8" spans="1:23" ht="15.75" x14ac:dyDescent="0.25">
      <c r="A8" s="44" t="s">
        <v>370</v>
      </c>
      <c r="B8" s="45" t="s">
        <v>5</v>
      </c>
      <c r="C8" s="7">
        <v>2</v>
      </c>
      <c r="D8" s="7">
        <v>6</v>
      </c>
      <c r="E8" s="7" t="str">
        <f>"Character_Data!S"&amp;(C8+1)&amp;":S"&amp;D8+1</f>
        <v>Character_Data!S3:S7</v>
      </c>
      <c r="F8" t="str">
        <f>IF(COUNTIF($A$1:$A8,$A8)&gt;1,"",MAX($F$1:$F7)+1)</f>
        <v/>
      </c>
      <c r="H8" t="str">
        <f t="shared" si="4"/>
        <v>Alopen (Trickster)CRM</v>
      </c>
      <c r="I8" t="s">
        <v>1227</v>
      </c>
      <c r="J8" s="19" t="s">
        <v>904</v>
      </c>
      <c r="K8" s="29"/>
      <c r="L8" s="17">
        <v>1</v>
      </c>
      <c r="M8" s="7">
        <v>7</v>
      </c>
      <c r="N8" t="str">
        <f t="shared" si="5"/>
        <v>Dwarf (Craftsman)</v>
      </c>
      <c r="O8">
        <f t="shared" si="6"/>
        <v>0</v>
      </c>
      <c r="P8">
        <v>21</v>
      </c>
      <c r="Q8" t="str">
        <f t="shared" si="0"/>
        <v/>
      </c>
      <c r="R8" t="str">
        <f t="shared" si="1"/>
        <v/>
      </c>
      <c r="S8" t="str">
        <f t="shared" si="2"/>
        <v/>
      </c>
      <c r="T8" t="str">
        <f t="shared" si="3"/>
        <v/>
      </c>
      <c r="V8" t="s">
        <v>1185</v>
      </c>
      <c r="W8">
        <v>21</v>
      </c>
    </row>
    <row r="9" spans="1:23" ht="15.75" x14ac:dyDescent="0.25">
      <c r="A9" s="44" t="s">
        <v>370</v>
      </c>
      <c r="B9" s="45" t="s">
        <v>6</v>
      </c>
      <c r="C9" s="7">
        <v>1</v>
      </c>
      <c r="D9" s="7">
        <v>4</v>
      </c>
      <c r="E9" s="7" t="str">
        <f>"Character_Data!T"&amp;(C9+1)&amp;":T"&amp;D9+1</f>
        <v>Character_Data!T2:T5</v>
      </c>
      <c r="F9" t="str">
        <f>IF(COUNTIF($A$1:$A9,$A9)&gt;1,"",MAX($F$1:$F8)+1)</f>
        <v/>
      </c>
      <c r="H9" t="str">
        <f t="shared" si="4"/>
        <v>Alopen (Trickster)LOR</v>
      </c>
      <c r="I9" t="s">
        <v>1227</v>
      </c>
      <c r="J9" s="19" t="s">
        <v>905</v>
      </c>
      <c r="K9" s="29"/>
      <c r="L9" s="17">
        <v>1</v>
      </c>
      <c r="M9" s="7">
        <v>8</v>
      </c>
      <c r="N9" t="str">
        <f t="shared" si="5"/>
        <v>Dwarf (Miner)</v>
      </c>
      <c r="O9">
        <f t="shared" si="6"/>
        <v>0</v>
      </c>
      <c r="P9">
        <v>24</v>
      </c>
      <c r="Q9" t="str">
        <f t="shared" si="0"/>
        <v/>
      </c>
      <c r="R9" t="str">
        <f t="shared" si="1"/>
        <v/>
      </c>
      <c r="S9" t="str">
        <f t="shared" si="2"/>
        <v/>
      </c>
      <c r="T9" t="str">
        <f t="shared" si="3"/>
        <v/>
      </c>
      <c r="V9" t="s">
        <v>1184</v>
      </c>
      <c r="W9">
        <v>24</v>
      </c>
    </row>
    <row r="10" spans="1:23" ht="15.75" x14ac:dyDescent="0.25">
      <c r="A10" s="1" t="s">
        <v>14</v>
      </c>
      <c r="B10" s="7" t="s">
        <v>3</v>
      </c>
      <c r="C10" s="7">
        <v>3</v>
      </c>
      <c r="D10" s="7">
        <v>5</v>
      </c>
      <c r="E10" s="7" t="str">
        <f>"Character_Data!Q"&amp;(C10+1)&amp;":Q"&amp;D10+1</f>
        <v>Character_Data!Q4:Q6</v>
      </c>
      <c r="F10">
        <f>IF(COUNTIF($A$1:$A10,$A10)&gt;1,"",MAX($F$1:$F9)+1)</f>
        <v>3</v>
      </c>
      <c r="H10" t="str">
        <f t="shared" si="4"/>
        <v>Centaur (Augur)STR</v>
      </c>
      <c r="I10" t="s">
        <v>1219</v>
      </c>
      <c r="J10" s="19" t="s">
        <v>906</v>
      </c>
      <c r="K10" s="29"/>
      <c r="L10" s="17">
        <v>1</v>
      </c>
      <c r="M10" s="7">
        <v>9</v>
      </c>
      <c r="N10" t="str">
        <f t="shared" si="5"/>
        <v>Eagleman (Screecher)</v>
      </c>
      <c r="O10">
        <f t="shared" si="6"/>
        <v>0</v>
      </c>
      <c r="P10">
        <v>27</v>
      </c>
      <c r="Q10" t="str">
        <f t="shared" si="0"/>
        <v/>
      </c>
      <c r="R10" t="str">
        <f t="shared" si="1"/>
        <v/>
      </c>
      <c r="S10" t="str">
        <f t="shared" si="2"/>
        <v/>
      </c>
      <c r="T10" t="str">
        <f t="shared" si="3"/>
        <v/>
      </c>
      <c r="V10" t="s">
        <v>1183</v>
      </c>
      <c r="W10">
        <v>27</v>
      </c>
    </row>
    <row r="11" spans="1:23" ht="15.75" x14ac:dyDescent="0.25">
      <c r="A11" s="1" t="s">
        <v>14</v>
      </c>
      <c r="B11" s="7" t="s">
        <v>4</v>
      </c>
      <c r="C11" s="7">
        <v>2</v>
      </c>
      <c r="D11" s="7">
        <v>5</v>
      </c>
      <c r="E11" s="7" t="str">
        <f>"Character_Data!R"&amp;(C11+1)&amp;":R"&amp;D11+1</f>
        <v>Character_Data!R3:R6</v>
      </c>
      <c r="F11" t="str">
        <f>IF(COUNTIF($A$1:$A11,$A11)&gt;1,"",MAX($F$1:$F10)+1)</f>
        <v/>
      </c>
      <c r="H11" t="str">
        <f t="shared" si="4"/>
        <v>Centaur (Augur)FIN</v>
      </c>
      <c r="I11" t="s">
        <v>1219</v>
      </c>
      <c r="J11" s="19" t="s">
        <v>907</v>
      </c>
      <c r="K11" s="29"/>
      <c r="L11" s="17">
        <v>1</v>
      </c>
      <c r="M11" s="7">
        <v>10</v>
      </c>
      <c r="N11" t="str">
        <f t="shared" si="5"/>
        <v>Eagleman (Sentry)</v>
      </c>
      <c r="O11">
        <f t="shared" si="6"/>
        <v>0</v>
      </c>
    </row>
    <row r="12" spans="1:23" ht="15.75" x14ac:dyDescent="0.25">
      <c r="A12" s="1" t="s">
        <v>14</v>
      </c>
      <c r="B12" s="7" t="s">
        <v>5</v>
      </c>
      <c r="C12" s="7">
        <v>1</v>
      </c>
      <c r="D12" s="7">
        <v>3</v>
      </c>
      <c r="E12" s="7" t="str">
        <f>"Character_Data!S"&amp;(C12+1)&amp;":S"&amp;D12+1</f>
        <v>Character_Data!S2:S4</v>
      </c>
      <c r="F12" t="str">
        <f>IF(COUNTIF($A$1:$A12,$A12)&gt;1,"",MAX($F$1:$F11)+1)</f>
        <v/>
      </c>
      <c r="H12" t="str">
        <f t="shared" si="4"/>
        <v>Centaur (Augur)CRM</v>
      </c>
      <c r="I12" t="s">
        <v>1219</v>
      </c>
      <c r="J12" s="98" t="s">
        <v>908</v>
      </c>
      <c r="K12" s="29"/>
      <c r="L12" s="17">
        <v>1</v>
      </c>
      <c r="M12" s="7">
        <v>11</v>
      </c>
      <c r="N12" t="str">
        <f t="shared" si="5"/>
        <v>Elf (Eldar)</v>
      </c>
      <c r="O12">
        <f t="shared" si="6"/>
        <v>0</v>
      </c>
      <c r="V12" t="s">
        <v>3</v>
      </c>
      <c r="W12">
        <f>IFERROR(VLOOKUP(Character_Builder!C13,Character_Data!$V$2:$W$9,2,FALSE),0)</f>
        <v>12</v>
      </c>
    </row>
    <row r="13" spans="1:23" ht="15.75" x14ac:dyDescent="0.25">
      <c r="A13" s="1" t="s">
        <v>14</v>
      </c>
      <c r="B13" s="7" t="s">
        <v>6</v>
      </c>
      <c r="C13" s="7">
        <v>2</v>
      </c>
      <c r="D13" s="7">
        <v>5</v>
      </c>
      <c r="E13" s="7" t="str">
        <f>"Character_Data!T"&amp;(C13+1)&amp;":T"&amp;D13+1</f>
        <v>Character_Data!T3:T6</v>
      </c>
      <c r="F13" t="str">
        <f>IF(COUNTIF($A$1:$A13,$A13)&gt;1,"",MAX($F$1:$F12)+1)</f>
        <v/>
      </c>
      <c r="H13" t="str">
        <f t="shared" si="4"/>
        <v>Centaur (Augur)LOR</v>
      </c>
      <c r="I13" t="s">
        <v>1219</v>
      </c>
      <c r="J13" s="98" t="s">
        <v>909</v>
      </c>
      <c r="K13" s="29"/>
      <c r="L13" s="17">
        <v>1</v>
      </c>
      <c r="M13" s="7">
        <v>12</v>
      </c>
      <c r="N13" t="str">
        <f t="shared" si="5"/>
        <v>Elf (Leafwalker)</v>
      </c>
      <c r="O13">
        <f t="shared" si="6"/>
        <v>0</v>
      </c>
      <c r="V13" t="s">
        <v>4</v>
      </c>
      <c r="W13">
        <f>IFERROR(VLOOKUP(Character_Builder!C14,Character_Data!$V$2:$W$9,2,FALSE),0)</f>
        <v>12</v>
      </c>
    </row>
    <row r="14" spans="1:23" ht="15.75" x14ac:dyDescent="0.25">
      <c r="A14" s="1" t="s">
        <v>15</v>
      </c>
      <c r="B14" s="7" t="s">
        <v>3</v>
      </c>
      <c r="C14" s="7">
        <v>3</v>
      </c>
      <c r="D14" s="7">
        <v>6</v>
      </c>
      <c r="E14" s="7" t="str">
        <f>"Character_Data!Q"&amp;(C14+1)&amp;":Q"&amp;D14+1</f>
        <v>Character_Data!Q4:Q7</v>
      </c>
      <c r="F14">
        <f>IF(COUNTIF($A$1:$A14,$A14)&gt;1,"",MAX($F$1:$F13)+1)</f>
        <v>4</v>
      </c>
      <c r="H14" t="str">
        <f t="shared" si="4"/>
        <v>Centaur (Sentinel)STR</v>
      </c>
      <c r="I14" t="s">
        <v>1219</v>
      </c>
      <c r="J14" s="19" t="s">
        <v>910</v>
      </c>
      <c r="K14" s="29"/>
      <c r="L14" s="17">
        <v>2</v>
      </c>
      <c r="M14" s="7">
        <v>13</v>
      </c>
      <c r="N14" t="str">
        <f t="shared" si="5"/>
        <v>Exiled Elf (Arcane)</v>
      </c>
      <c r="O14">
        <f t="shared" si="6"/>
        <v>0</v>
      </c>
      <c r="V14" t="s">
        <v>5</v>
      </c>
      <c r="W14">
        <f>IFERROR(VLOOKUP(Character_Builder!C15,Character_Data!$V$2:$W$9,2,FALSE),0)</f>
        <v>6</v>
      </c>
    </row>
    <row r="15" spans="1:23" ht="15.75" x14ac:dyDescent="0.25">
      <c r="A15" s="1" t="s">
        <v>15</v>
      </c>
      <c r="B15" s="7" t="s">
        <v>4</v>
      </c>
      <c r="C15" s="7">
        <v>2</v>
      </c>
      <c r="D15" s="7">
        <v>5</v>
      </c>
      <c r="E15" s="7" t="str">
        <f>"Character_Data!R"&amp;(C15+1)&amp;":R"&amp;D15+1</f>
        <v>Character_Data!R3:R6</v>
      </c>
      <c r="F15" t="str">
        <f>IF(COUNTIF($A$1:$A15,$A15)&gt;1,"",MAX($F$1:$F14)+1)</f>
        <v/>
      </c>
      <c r="H15" t="str">
        <f t="shared" si="4"/>
        <v>Centaur (Sentinel)FIN</v>
      </c>
      <c r="I15" t="s">
        <v>1219</v>
      </c>
      <c r="J15" s="19" t="s">
        <v>911</v>
      </c>
      <c r="K15" s="29"/>
      <c r="L15" s="17">
        <v>3</v>
      </c>
      <c r="M15" s="7">
        <v>14</v>
      </c>
      <c r="N15" t="str">
        <f t="shared" si="5"/>
        <v>Exiled Elf (Dark)</v>
      </c>
      <c r="O15">
        <f t="shared" si="6"/>
        <v>0</v>
      </c>
      <c r="V15" t="s">
        <v>6</v>
      </c>
      <c r="W15">
        <f>IFERROR(VLOOKUP(Character_Builder!C16,Character_Data!$V$2:$W$9,2,FALSE),0)</f>
        <v>12</v>
      </c>
    </row>
    <row r="16" spans="1:23" ht="15.75" x14ac:dyDescent="0.25">
      <c r="A16" s="1" t="s">
        <v>15</v>
      </c>
      <c r="B16" s="7" t="s">
        <v>5</v>
      </c>
      <c r="C16" s="7">
        <v>1</v>
      </c>
      <c r="D16" s="7">
        <v>3</v>
      </c>
      <c r="E16" s="7" t="str">
        <f>"Character_Data!S"&amp;(C16+1)&amp;":S"&amp;D16+1</f>
        <v>Character_Data!S2:S4</v>
      </c>
      <c r="F16" t="str">
        <f>IF(COUNTIF($A$1:$A16,$A16)&gt;1,"",MAX($F$1:$F15)+1)</f>
        <v/>
      </c>
      <c r="H16" t="str">
        <f t="shared" si="4"/>
        <v>Centaur (Sentinel)CRM</v>
      </c>
      <c r="I16" t="s">
        <v>1219</v>
      </c>
      <c r="J16" s="19" t="s">
        <v>912</v>
      </c>
      <c r="K16" s="29"/>
      <c r="L16" s="17">
        <v>3</v>
      </c>
      <c r="M16" s="7">
        <v>15</v>
      </c>
      <c r="N16" t="str">
        <f t="shared" si="5"/>
        <v>Faun (Forest)</v>
      </c>
      <c r="O16" t="str">
        <f t="shared" si="6"/>
        <v>Resistant to Magic</v>
      </c>
    </row>
    <row r="17" spans="1:23" ht="15.75" x14ac:dyDescent="0.25">
      <c r="A17" s="1" t="s">
        <v>15</v>
      </c>
      <c r="B17" s="7" t="s">
        <v>6</v>
      </c>
      <c r="C17" s="7">
        <v>2</v>
      </c>
      <c r="D17" s="7">
        <v>4</v>
      </c>
      <c r="E17" s="7" t="str">
        <f>"Character_Data!T"&amp;(C17+1)&amp;":T"&amp;D17+1</f>
        <v>Character_Data!T3:T5</v>
      </c>
      <c r="F17" t="str">
        <f>IF(COUNTIF($A$1:$A17,$A17)&gt;1,"",MAX($F$1:$F16)+1)</f>
        <v/>
      </c>
      <c r="H17" t="str">
        <f t="shared" si="4"/>
        <v>Centaur (Sentinel)LOR</v>
      </c>
      <c r="I17" t="s">
        <v>1219</v>
      </c>
      <c r="J17" s="19" t="s">
        <v>913</v>
      </c>
      <c r="K17" s="29"/>
      <c r="L17" s="17">
        <v>6</v>
      </c>
      <c r="M17" s="7">
        <v>16</v>
      </c>
      <c r="N17" t="str">
        <f t="shared" si="5"/>
        <v>Faun (River)</v>
      </c>
      <c r="O17" t="str">
        <f t="shared" si="6"/>
        <v>Resistant to Magic</v>
      </c>
      <c r="V17" t="s">
        <v>1194</v>
      </c>
      <c r="W17">
        <f>VLOOKUP(Character_Builder!$C$4,$J$2:$K$4,2,FALSE)</f>
        <v>42</v>
      </c>
    </row>
    <row r="18" spans="1:23" ht="16.5" thickBot="1" x14ac:dyDescent="0.3">
      <c r="A18" s="44" t="s">
        <v>372</v>
      </c>
      <c r="B18" s="45" t="s">
        <v>3</v>
      </c>
      <c r="C18" s="7">
        <v>1</v>
      </c>
      <c r="D18" s="7">
        <v>4</v>
      </c>
      <c r="E18" s="7" t="str">
        <f>"Character_Data!Q"&amp;(C18+1)&amp;":Q"&amp;D18+1</f>
        <v>Character_Data!Q2:Q5</v>
      </c>
      <c r="F18">
        <f>IF(COUNTIF($A$1:$A18,$A18)&gt;1,"",MAX($F$1:$F17)+1)</f>
        <v>5</v>
      </c>
      <c r="H18" t="str">
        <f t="shared" si="4"/>
        <v>Dawnwraith (Singer)STR</v>
      </c>
      <c r="I18" t="s">
        <v>1228</v>
      </c>
      <c r="J18" s="20" t="s">
        <v>903</v>
      </c>
      <c r="K18" s="96"/>
      <c r="L18" s="18">
        <v>-3</v>
      </c>
      <c r="M18" s="7">
        <v>17</v>
      </c>
      <c r="N18" t="str">
        <f t="shared" si="5"/>
        <v>Giant (Hill)</v>
      </c>
      <c r="O18" t="str">
        <f t="shared" si="6"/>
        <v>Juggernaught</v>
      </c>
      <c r="V18" t="s">
        <v>1193</v>
      </c>
      <c r="W18">
        <f>SUM(W12:W15)</f>
        <v>42</v>
      </c>
    </row>
    <row r="19" spans="1:23" ht="15.75" x14ac:dyDescent="0.25">
      <c r="A19" s="44" t="s">
        <v>372</v>
      </c>
      <c r="B19" s="45" t="s">
        <v>4</v>
      </c>
      <c r="C19" s="7">
        <v>3</v>
      </c>
      <c r="D19" s="7">
        <v>5</v>
      </c>
      <c r="E19" s="7" t="str">
        <f>"Character_Data!R"&amp;(C19+1)&amp;":R"&amp;D19+1</f>
        <v>Character_Data!R4:R6</v>
      </c>
      <c r="F19" t="str">
        <f>IF(COUNTIF($A$1:$A19,$A19)&gt;1,"",MAX($F$1:$F18)+1)</f>
        <v/>
      </c>
      <c r="H19" t="str">
        <f t="shared" si="4"/>
        <v>Dawnwraith (Singer)FIN</v>
      </c>
      <c r="I19" t="s">
        <v>1228</v>
      </c>
      <c r="K19" s="7"/>
      <c r="M19" s="7">
        <v>18</v>
      </c>
      <c r="N19" t="str">
        <f t="shared" si="5"/>
        <v>Giant (Mountain)</v>
      </c>
      <c r="O19" t="str">
        <f t="shared" si="6"/>
        <v>Juggernaught</v>
      </c>
    </row>
    <row r="20" spans="1:23" ht="15.75" x14ac:dyDescent="0.25">
      <c r="A20" s="44" t="s">
        <v>372</v>
      </c>
      <c r="B20" s="45" t="s">
        <v>5</v>
      </c>
      <c r="C20" s="7">
        <v>1</v>
      </c>
      <c r="D20" s="7">
        <v>6</v>
      </c>
      <c r="E20" s="7" t="str">
        <f>"Character_Data!S"&amp;(C20+1)&amp;":S"&amp;D20+1</f>
        <v>Character_Data!S2:S7</v>
      </c>
      <c r="F20" t="str">
        <f>IF(COUNTIF($A$1:$A20,$A20)&gt;1,"",MAX($F$1:$F19)+1)</f>
        <v/>
      </c>
      <c r="H20" t="str">
        <f t="shared" si="4"/>
        <v>Dawnwraith (Singer)CRM</v>
      </c>
      <c r="I20" t="s">
        <v>1228</v>
      </c>
      <c r="K20" s="7"/>
      <c r="L20" s="7"/>
      <c r="M20" s="7">
        <v>19</v>
      </c>
      <c r="N20" t="str">
        <f t="shared" si="5"/>
        <v>Man (Ranger)</v>
      </c>
      <c r="O20">
        <f t="shared" si="6"/>
        <v>0</v>
      </c>
    </row>
    <row r="21" spans="1:23" ht="15.75" x14ac:dyDescent="0.25">
      <c r="A21" s="44" t="s">
        <v>372</v>
      </c>
      <c r="B21" s="45" t="s">
        <v>6</v>
      </c>
      <c r="C21" s="7">
        <v>2</v>
      </c>
      <c r="D21" s="7">
        <v>5</v>
      </c>
      <c r="E21" s="7" t="str">
        <f>"Character_Data!T"&amp;(C21+1)&amp;":T"&amp;D21+1</f>
        <v>Character_Data!T3:T6</v>
      </c>
      <c r="F21" t="str">
        <f>IF(COUNTIF($A$1:$A21,$A21)&gt;1,"",MAX($F$1:$F20)+1)</f>
        <v/>
      </c>
      <c r="H21" t="str">
        <f t="shared" si="4"/>
        <v>Dawnwraith (Singer)LOR</v>
      </c>
      <c r="I21" t="s">
        <v>1228</v>
      </c>
      <c r="K21" s="7"/>
      <c r="L21" s="7"/>
      <c r="M21" s="7">
        <v>20</v>
      </c>
      <c r="N21" t="str">
        <f t="shared" si="5"/>
        <v>Man (Urban)</v>
      </c>
      <c r="O21">
        <f t="shared" si="6"/>
        <v>0</v>
      </c>
    </row>
    <row r="22" spans="1:23" ht="15.75" x14ac:dyDescent="0.25">
      <c r="A22" s="44" t="s">
        <v>371</v>
      </c>
      <c r="B22" s="45" t="s">
        <v>3</v>
      </c>
      <c r="C22" s="7">
        <v>1</v>
      </c>
      <c r="D22" s="7">
        <v>4</v>
      </c>
      <c r="E22" s="7" t="str">
        <f>"Character_Data!Q"&amp;(C22+1)&amp;":Q"&amp;D22+1</f>
        <v>Character_Data!Q2:Q5</v>
      </c>
      <c r="F22">
        <f>IF(COUNTIF($A$1:$A22,$A22)&gt;1,"",MAX($F$1:$F21)+1)</f>
        <v>6</v>
      </c>
      <c r="H22" t="str">
        <f t="shared" si="4"/>
        <v>Dawnwraith (Slinker)STR</v>
      </c>
      <c r="I22" t="s">
        <v>1228</v>
      </c>
      <c r="K22" s="7"/>
      <c r="L22" s="7"/>
      <c r="M22" s="7">
        <v>21</v>
      </c>
      <c r="N22" t="str">
        <f t="shared" si="5"/>
        <v>Minotaur (Bull)</v>
      </c>
      <c r="O22" t="str">
        <f t="shared" si="6"/>
        <v>Burly</v>
      </c>
    </row>
    <row r="23" spans="1:23" ht="15.75" x14ac:dyDescent="0.25">
      <c r="A23" s="44" t="s">
        <v>371</v>
      </c>
      <c r="B23" s="45" t="s">
        <v>4</v>
      </c>
      <c r="C23" s="7">
        <v>3</v>
      </c>
      <c r="D23" s="7">
        <v>6</v>
      </c>
      <c r="E23" s="7" t="str">
        <f>"Character_Data!R"&amp;(C23+1)&amp;":R"&amp;D23+1</f>
        <v>Character_Data!R4:R7</v>
      </c>
      <c r="F23" t="str">
        <f>IF(COUNTIF($A$1:$A23,$A23)&gt;1,"",MAX($F$1:$F22)+1)</f>
        <v/>
      </c>
      <c r="H23" t="str">
        <f t="shared" si="4"/>
        <v>Dawnwraith (Slinker)FIN</v>
      </c>
      <c r="I23" t="s">
        <v>1228</v>
      </c>
      <c r="K23" s="7"/>
      <c r="L23" s="7"/>
      <c r="M23" s="7">
        <v>22</v>
      </c>
      <c r="N23" t="str">
        <f t="shared" si="5"/>
        <v>Minotaur (Tauren)</v>
      </c>
      <c r="O23" t="str">
        <f t="shared" si="6"/>
        <v>Burly</v>
      </c>
    </row>
    <row r="24" spans="1:23" ht="15.75" x14ac:dyDescent="0.25">
      <c r="A24" s="44" t="s">
        <v>371</v>
      </c>
      <c r="B24" s="45" t="s">
        <v>5</v>
      </c>
      <c r="C24" s="7">
        <v>1</v>
      </c>
      <c r="D24" s="7">
        <v>5</v>
      </c>
      <c r="E24" s="7" t="str">
        <f>"Character_Data!S"&amp;(C24+1)&amp;":S"&amp;D24+1</f>
        <v>Character_Data!S2:S6</v>
      </c>
      <c r="F24" t="str">
        <f>IF(COUNTIF($A$1:$A24,$A24)&gt;1,"",MAX($F$1:$F23)+1)</f>
        <v/>
      </c>
      <c r="H24" t="str">
        <f t="shared" si="4"/>
        <v>Dawnwraith (Slinker)CRM</v>
      </c>
      <c r="I24" t="s">
        <v>1228</v>
      </c>
      <c r="L24" s="7"/>
      <c r="M24" s="7">
        <v>23</v>
      </c>
      <c r="N24" t="str">
        <f t="shared" si="5"/>
        <v>Satyr (Drunken Sot)</v>
      </c>
      <c r="O24">
        <f t="shared" si="6"/>
        <v>0</v>
      </c>
    </row>
    <row r="25" spans="1:23" ht="15.75" x14ac:dyDescent="0.25">
      <c r="A25" s="44" t="s">
        <v>371</v>
      </c>
      <c r="B25" s="45" t="s">
        <v>6</v>
      </c>
      <c r="C25" s="7">
        <v>2</v>
      </c>
      <c r="D25" s="7">
        <v>5</v>
      </c>
      <c r="E25" s="7" t="str">
        <f>"Character_Data!T"&amp;(C25+1)&amp;":T"&amp;D25+1</f>
        <v>Character_Data!T3:T6</v>
      </c>
      <c r="F25" t="str">
        <f>IF(COUNTIF($A$1:$A25,$A25)&gt;1,"",MAX($F$1:$F24)+1)</f>
        <v/>
      </c>
      <c r="H25" t="str">
        <f t="shared" si="4"/>
        <v>Dawnwraith (Slinker)LOR</v>
      </c>
      <c r="I25" t="s">
        <v>1228</v>
      </c>
      <c r="M25" s="7">
        <v>24</v>
      </c>
      <c r="N25" t="str">
        <f t="shared" si="5"/>
        <v>Satyr (Mystic)</v>
      </c>
      <c r="O25">
        <f t="shared" si="6"/>
        <v>0</v>
      </c>
    </row>
    <row r="26" spans="1:23" ht="15.75" x14ac:dyDescent="0.25">
      <c r="A26" s="1" t="s">
        <v>19</v>
      </c>
      <c r="B26" s="7" t="s">
        <v>3</v>
      </c>
      <c r="C26" s="7">
        <v>2</v>
      </c>
      <c r="D26" s="7">
        <v>5</v>
      </c>
      <c r="E26" s="7" t="str">
        <f>"Character_Data!Q"&amp;(C26+1)&amp;":Q"&amp;D26+1</f>
        <v>Character_Data!Q3:Q6</v>
      </c>
      <c r="F26">
        <f>IF(COUNTIF($A$1:$A26,$A26)&gt;1,"",MAX($F$1:$F25)+1)</f>
        <v>7</v>
      </c>
      <c r="H26" t="str">
        <f t="shared" si="4"/>
        <v>Dwarf (Craftsman)STR</v>
      </c>
      <c r="I26" t="s">
        <v>1221</v>
      </c>
      <c r="L26" s="7"/>
      <c r="M26" s="7">
        <v>25</v>
      </c>
      <c r="N26" t="str">
        <f t="shared" si="5"/>
        <v>Spectre (Ethereal)</v>
      </c>
      <c r="O26" t="str">
        <f t="shared" si="6"/>
        <v>Cold Chill</v>
      </c>
    </row>
    <row r="27" spans="1:23" ht="15.75" x14ac:dyDescent="0.25">
      <c r="A27" s="1" t="s">
        <v>19</v>
      </c>
      <c r="B27" s="7" t="s">
        <v>4</v>
      </c>
      <c r="C27" s="7">
        <v>1</v>
      </c>
      <c r="D27" s="7">
        <v>5</v>
      </c>
      <c r="E27" s="7" t="str">
        <f>"Character_Data!R"&amp;(C27+1)&amp;":R"&amp;D27+1</f>
        <v>Character_Data!R2:R6</v>
      </c>
      <c r="F27" t="str">
        <f>IF(COUNTIF($A$1:$A27,$A27)&gt;1,"",MAX($F$1:$F26)+1)</f>
        <v/>
      </c>
      <c r="H27" t="str">
        <f t="shared" si="4"/>
        <v>Dwarf (Craftsman)FIN</v>
      </c>
      <c r="I27" t="s">
        <v>1221</v>
      </c>
      <c r="L27" s="7"/>
      <c r="M27" s="7">
        <v>26</v>
      </c>
      <c r="N27" t="str">
        <f t="shared" si="5"/>
        <v>Spectre (Undead)</v>
      </c>
      <c r="O27" t="str">
        <f t="shared" si="6"/>
        <v>Cold Chill</v>
      </c>
    </row>
    <row r="28" spans="1:23" ht="15.75" x14ac:dyDescent="0.25">
      <c r="A28" s="1" t="s">
        <v>19</v>
      </c>
      <c r="B28" s="7" t="s">
        <v>5</v>
      </c>
      <c r="C28" s="7">
        <v>1</v>
      </c>
      <c r="D28" s="7">
        <v>3</v>
      </c>
      <c r="E28" s="7" t="str">
        <f>"Character_Data!S"&amp;(C28+1)&amp;":S"&amp;D28+1</f>
        <v>Character_Data!S2:S4</v>
      </c>
      <c r="F28" t="str">
        <f>IF(COUNTIF($A$1:$A28,$A28)&gt;1,"",MAX($F$1:$F27)+1)</f>
        <v/>
      </c>
      <c r="H28" t="str">
        <f t="shared" si="4"/>
        <v>Dwarf (Craftsman)CRM</v>
      </c>
      <c r="I28" t="s">
        <v>1221</v>
      </c>
      <c r="L28" s="7"/>
      <c r="M28" s="7">
        <v>27</v>
      </c>
      <c r="N28" t="str">
        <f t="shared" si="5"/>
        <v>Sprite (Dark “Imp”)</v>
      </c>
      <c r="O28">
        <f t="shared" si="6"/>
        <v>0</v>
      </c>
    </row>
    <row r="29" spans="1:23" ht="15.75" x14ac:dyDescent="0.25">
      <c r="A29" s="1" t="s">
        <v>19</v>
      </c>
      <c r="B29" s="7" t="s">
        <v>6</v>
      </c>
      <c r="C29" s="7">
        <v>2</v>
      </c>
      <c r="D29" s="7">
        <v>5</v>
      </c>
      <c r="E29" s="7" t="str">
        <f>"Character_Data!T"&amp;(C29+1)&amp;":T"&amp;D29+1</f>
        <v>Character_Data!T3:T6</v>
      </c>
      <c r="F29" t="str">
        <f>IF(COUNTIF($A$1:$A29,$A29)&gt;1,"",MAX($F$1:$F28)+1)</f>
        <v/>
      </c>
      <c r="H29" t="str">
        <f t="shared" si="4"/>
        <v>Dwarf (Craftsman)LOR</v>
      </c>
      <c r="I29" t="s">
        <v>1221</v>
      </c>
      <c r="L29" s="7"/>
      <c r="M29" s="7">
        <v>28</v>
      </c>
      <c r="N29" t="str">
        <f t="shared" si="5"/>
        <v>Sprite (Sundancer “Pixi”)</v>
      </c>
      <c r="O29">
        <f t="shared" si="6"/>
        <v>0</v>
      </c>
    </row>
    <row r="30" spans="1:23" ht="15.75" x14ac:dyDescent="0.25">
      <c r="A30" s="1" t="s">
        <v>18</v>
      </c>
      <c r="B30" s="7" t="s">
        <v>3</v>
      </c>
      <c r="C30" s="7">
        <v>2</v>
      </c>
      <c r="D30" s="7">
        <v>6</v>
      </c>
      <c r="E30" s="7" t="str">
        <f>"Character_Data!Q"&amp;(C30+1)&amp;":Q"&amp;D30+1</f>
        <v>Character_Data!Q3:Q7</v>
      </c>
      <c r="F30">
        <f>IF(COUNTIF($A$1:$A30,$A30)&gt;1,"",MAX($F$1:$F29)+1)</f>
        <v>8</v>
      </c>
      <c r="H30" t="str">
        <f t="shared" si="4"/>
        <v>Dwarf (Miner)STR</v>
      </c>
      <c r="I30" t="s">
        <v>1221</v>
      </c>
      <c r="L30" s="7"/>
      <c r="M30" s="7">
        <v>29</v>
      </c>
      <c r="N30" t="str">
        <f t="shared" si="5"/>
        <v>Troll (River)</v>
      </c>
      <c r="O30">
        <f t="shared" si="6"/>
        <v>0</v>
      </c>
    </row>
    <row r="31" spans="1:23" ht="15.75" x14ac:dyDescent="0.25">
      <c r="A31" s="1" t="s">
        <v>18</v>
      </c>
      <c r="B31" s="7" t="s">
        <v>4</v>
      </c>
      <c r="C31" s="7">
        <v>1</v>
      </c>
      <c r="D31" s="7">
        <v>4</v>
      </c>
      <c r="E31" s="7" t="str">
        <f>"Character_Data!R"&amp;(C31+1)&amp;":R"&amp;D31+1</f>
        <v>Character_Data!R2:R5</v>
      </c>
      <c r="F31" t="str">
        <f>IF(COUNTIF($A$1:$A31,$A31)&gt;1,"",MAX($F$1:$F30)+1)</f>
        <v/>
      </c>
      <c r="H31" t="str">
        <f t="shared" si="4"/>
        <v>Dwarf (Miner)FIN</v>
      </c>
      <c r="I31" t="s">
        <v>1221</v>
      </c>
      <c r="M31" s="7">
        <v>30</v>
      </c>
      <c r="N31" t="str">
        <f t="shared" si="5"/>
        <v>Troll (Valley)</v>
      </c>
      <c r="O31">
        <f t="shared" si="6"/>
        <v>0</v>
      </c>
    </row>
    <row r="32" spans="1:23" ht="15.75" x14ac:dyDescent="0.25">
      <c r="A32" s="1" t="s">
        <v>18</v>
      </c>
      <c r="B32" s="7" t="s">
        <v>5</v>
      </c>
      <c r="C32" s="7">
        <v>1</v>
      </c>
      <c r="D32" s="7">
        <v>3</v>
      </c>
      <c r="E32" s="7" t="str">
        <f>"Character_Data!S"&amp;(C32+1)&amp;":S"&amp;D32+1</f>
        <v>Character_Data!S2:S4</v>
      </c>
      <c r="F32" t="str">
        <f>IF(COUNTIF($A$1:$A32,$A32)&gt;1,"",MAX($F$1:$F31)+1)</f>
        <v/>
      </c>
      <c r="H32" t="str">
        <f t="shared" si="4"/>
        <v>Dwarf (Miner)CRM</v>
      </c>
      <c r="I32" t="s">
        <v>1221</v>
      </c>
      <c r="L32" s="7"/>
      <c r="M32" s="7">
        <v>31</v>
      </c>
      <c r="N32" t="str">
        <f t="shared" si="5"/>
        <v>Wild Man (Carnal)</v>
      </c>
      <c r="O32">
        <f t="shared" si="6"/>
        <v>0</v>
      </c>
    </row>
    <row r="33" spans="1:15" ht="15.75" x14ac:dyDescent="0.25">
      <c r="A33" s="1" t="s">
        <v>18</v>
      </c>
      <c r="B33" s="7" t="s">
        <v>6</v>
      </c>
      <c r="C33" s="7">
        <v>2</v>
      </c>
      <c r="D33" s="7">
        <v>5</v>
      </c>
      <c r="E33" s="7" t="str">
        <f>"Character_Data!T"&amp;(C33+1)&amp;":T"&amp;D33+1</f>
        <v>Character_Data!T3:T6</v>
      </c>
      <c r="F33" t="str">
        <f>IF(COUNTIF($A$1:$A33,$A33)&gt;1,"",MAX($F$1:$F32)+1)</f>
        <v/>
      </c>
      <c r="H33" t="str">
        <f t="shared" si="4"/>
        <v>Dwarf (Miner)LOR</v>
      </c>
      <c r="I33" t="s">
        <v>1221</v>
      </c>
      <c r="L33" s="7"/>
      <c r="M33" s="7">
        <v>32</v>
      </c>
      <c r="N33" t="str">
        <f t="shared" si="5"/>
        <v>Wild Man (Rager)</v>
      </c>
      <c r="O33">
        <f t="shared" si="6"/>
        <v>0</v>
      </c>
    </row>
    <row r="34" spans="1:15" ht="15.75" x14ac:dyDescent="0.25">
      <c r="A34" s="44" t="s">
        <v>374</v>
      </c>
      <c r="B34" s="45" t="s">
        <v>3</v>
      </c>
      <c r="C34" s="7">
        <v>2</v>
      </c>
      <c r="D34" s="7">
        <v>5</v>
      </c>
      <c r="E34" s="7" t="str">
        <f>"Character_Data!Q"&amp;(C34+1)&amp;":Q"&amp;D34+1</f>
        <v>Character_Data!Q3:Q6</v>
      </c>
      <c r="F34">
        <f>IF(COUNTIF($A$1:$A34,$A34)&gt;1,"",MAX($F$1:$F33)+1)</f>
        <v>9</v>
      </c>
      <c r="H34" t="str">
        <f t="shared" si="4"/>
        <v>Eagleman (Screecher)STR</v>
      </c>
      <c r="I34" t="s">
        <v>1229</v>
      </c>
      <c r="L34" s="7"/>
      <c r="M34" s="7">
        <v>33</v>
      </c>
      <c r="N34" t="str">
        <f t="shared" si="5"/>
        <v>Wulvern (Scout)</v>
      </c>
      <c r="O34">
        <f t="shared" si="6"/>
        <v>0</v>
      </c>
    </row>
    <row r="35" spans="1:15" ht="15.75" x14ac:dyDescent="0.25">
      <c r="A35" s="44" t="s">
        <v>374</v>
      </c>
      <c r="B35" s="45" t="s">
        <v>4</v>
      </c>
      <c r="C35" s="7">
        <v>2</v>
      </c>
      <c r="D35" s="7">
        <v>5</v>
      </c>
      <c r="E35" s="7" t="str">
        <f>"Character_Data!R"&amp;(C35+1)&amp;":R"&amp;D35+1</f>
        <v>Character_Data!R3:R6</v>
      </c>
      <c r="F35" t="str">
        <f>IF(COUNTIF($A$1:$A35,$A35)&gt;1,"",MAX($F$1:$F34)+1)</f>
        <v/>
      </c>
      <c r="H35" t="str">
        <f t="shared" si="4"/>
        <v>Eagleman (Screecher)FIN</v>
      </c>
      <c r="I35" t="s">
        <v>1229</v>
      </c>
      <c r="L35" s="7"/>
      <c r="M35" s="7">
        <v>34</v>
      </c>
      <c r="N35" t="str">
        <f t="shared" si="5"/>
        <v>Wulvern (Shaman)</v>
      </c>
      <c r="O35">
        <f t="shared" si="6"/>
        <v>0</v>
      </c>
    </row>
    <row r="36" spans="1:15" ht="15.75" x14ac:dyDescent="0.25">
      <c r="A36" s="44" t="s">
        <v>374</v>
      </c>
      <c r="B36" s="45" t="s">
        <v>5</v>
      </c>
      <c r="C36" s="7">
        <v>1</v>
      </c>
      <c r="D36" s="7">
        <v>4</v>
      </c>
      <c r="E36" s="7" t="str">
        <f>"Character_Data!S"&amp;(C36+1)&amp;":S"&amp;D36+1</f>
        <v>Character_Data!S2:S5</v>
      </c>
      <c r="F36" t="str">
        <f>IF(COUNTIF($A$1:$A36,$A36)&gt;1,"",MAX($F$1:$F35)+1)</f>
        <v/>
      </c>
      <c r="H36" t="str">
        <f t="shared" si="4"/>
        <v>Eagleman (Screecher)CRM</v>
      </c>
      <c r="I36" t="s">
        <v>1229</v>
      </c>
      <c r="L36" s="7"/>
      <c r="M36" s="7">
        <v>35</v>
      </c>
      <c r="N36" t="str">
        <f t="shared" si="5"/>
        <v/>
      </c>
      <c r="O36">
        <f t="shared" si="6"/>
        <v>0</v>
      </c>
    </row>
    <row r="37" spans="1:15" ht="15.75" x14ac:dyDescent="0.25">
      <c r="A37" s="44" t="s">
        <v>374</v>
      </c>
      <c r="B37" s="45" t="s">
        <v>6</v>
      </c>
      <c r="C37" s="7">
        <v>2</v>
      </c>
      <c r="D37" s="7">
        <v>5</v>
      </c>
      <c r="E37" s="7" t="str">
        <f>"Character_Data!T"&amp;(C37+1)&amp;":T"&amp;D37+1</f>
        <v>Character_Data!T3:T6</v>
      </c>
      <c r="F37" t="str">
        <f>IF(COUNTIF($A$1:$A37,$A37)&gt;1,"",MAX($F$1:$F36)+1)</f>
        <v/>
      </c>
      <c r="H37" t="str">
        <f t="shared" si="4"/>
        <v>Eagleman (Screecher)LOR</v>
      </c>
      <c r="I37" t="s">
        <v>1229</v>
      </c>
      <c r="M37" s="7">
        <v>36</v>
      </c>
      <c r="N37" t="str">
        <f t="shared" si="5"/>
        <v/>
      </c>
      <c r="O37">
        <f t="shared" si="6"/>
        <v>0</v>
      </c>
    </row>
    <row r="38" spans="1:15" ht="15.75" x14ac:dyDescent="0.25">
      <c r="A38" s="44" t="s">
        <v>373</v>
      </c>
      <c r="B38" s="45" t="s">
        <v>3</v>
      </c>
      <c r="C38" s="7">
        <v>2</v>
      </c>
      <c r="D38" s="7">
        <v>5</v>
      </c>
      <c r="E38" s="7" t="str">
        <f>"Character_Data!Q"&amp;(C38+1)&amp;":Q"&amp;D38+1</f>
        <v>Character_Data!Q3:Q6</v>
      </c>
      <c r="F38">
        <f>IF(COUNTIF($A$1:$A38,$A38)&gt;1,"",MAX($F$1:$F37)+1)</f>
        <v>10</v>
      </c>
      <c r="H38" t="str">
        <f t="shared" si="4"/>
        <v>Eagleman (Sentry)STR</v>
      </c>
      <c r="I38" t="s">
        <v>1229</v>
      </c>
      <c r="M38" s="7">
        <v>37</v>
      </c>
      <c r="N38" t="str">
        <f t="shared" si="5"/>
        <v/>
      </c>
      <c r="O38">
        <f t="shared" si="6"/>
        <v>0</v>
      </c>
    </row>
    <row r="39" spans="1:15" ht="15.75" x14ac:dyDescent="0.25">
      <c r="A39" s="44" t="s">
        <v>373</v>
      </c>
      <c r="B39" s="45" t="s">
        <v>4</v>
      </c>
      <c r="C39" s="7">
        <v>2</v>
      </c>
      <c r="D39" s="7">
        <v>6</v>
      </c>
      <c r="E39" s="7" t="str">
        <f>"Character_Data!R"&amp;(C39+1)&amp;":R"&amp;D39+1</f>
        <v>Character_Data!R3:R7</v>
      </c>
      <c r="F39" t="str">
        <f>IF(COUNTIF($A$1:$A39,$A39)&gt;1,"",MAX($F$1:$F38)+1)</f>
        <v/>
      </c>
      <c r="H39" t="str">
        <f t="shared" si="4"/>
        <v>Eagleman (Sentry)FIN</v>
      </c>
      <c r="I39" t="s">
        <v>1229</v>
      </c>
      <c r="M39" s="7">
        <v>38</v>
      </c>
      <c r="N39" t="str">
        <f t="shared" si="5"/>
        <v/>
      </c>
      <c r="O39">
        <f t="shared" si="6"/>
        <v>0</v>
      </c>
    </row>
    <row r="40" spans="1:15" ht="15.75" x14ac:dyDescent="0.25">
      <c r="A40" s="44" t="s">
        <v>373</v>
      </c>
      <c r="B40" s="45" t="s">
        <v>5</v>
      </c>
      <c r="C40" s="7">
        <v>1</v>
      </c>
      <c r="D40" s="7">
        <v>4</v>
      </c>
      <c r="E40" s="7" t="str">
        <f>"Character_Data!S"&amp;(C40+1)&amp;":S"&amp;D40+1</f>
        <v>Character_Data!S2:S5</v>
      </c>
      <c r="F40" t="str">
        <f>IF(COUNTIF($A$1:$A40,$A40)&gt;1,"",MAX($F$1:$F39)+1)</f>
        <v/>
      </c>
      <c r="H40" t="str">
        <f t="shared" si="4"/>
        <v>Eagleman (Sentry)CRM</v>
      </c>
      <c r="I40" t="s">
        <v>1229</v>
      </c>
      <c r="M40" s="7">
        <v>39</v>
      </c>
      <c r="N40" t="str">
        <f t="shared" si="5"/>
        <v/>
      </c>
      <c r="O40">
        <f t="shared" si="6"/>
        <v>0</v>
      </c>
    </row>
    <row r="41" spans="1:15" ht="15.75" x14ac:dyDescent="0.25">
      <c r="A41" s="44" t="s">
        <v>373</v>
      </c>
      <c r="B41" s="45" t="s">
        <v>6</v>
      </c>
      <c r="C41" s="7">
        <v>2</v>
      </c>
      <c r="D41" s="7">
        <v>4</v>
      </c>
      <c r="E41" s="7" t="str">
        <f>"Character_Data!T"&amp;(C41+1)&amp;":T"&amp;D41+1</f>
        <v>Character_Data!T3:T5</v>
      </c>
      <c r="F41" t="str">
        <f>IF(COUNTIF($A$1:$A41,$A41)&gt;1,"",MAX($F$1:$F40)+1)</f>
        <v/>
      </c>
      <c r="H41" t="str">
        <f t="shared" si="4"/>
        <v>Eagleman (Sentry)LOR</v>
      </c>
      <c r="I41" t="s">
        <v>1229</v>
      </c>
      <c r="M41" s="7">
        <v>40</v>
      </c>
      <c r="N41" t="str">
        <f t="shared" si="5"/>
        <v/>
      </c>
      <c r="O41">
        <f t="shared" si="6"/>
        <v>0</v>
      </c>
    </row>
    <row r="42" spans="1:15" ht="15.75" x14ac:dyDescent="0.25">
      <c r="A42" s="1" t="s">
        <v>12</v>
      </c>
      <c r="B42" s="7" t="s">
        <v>3</v>
      </c>
      <c r="C42" s="7">
        <v>2</v>
      </c>
      <c r="D42" s="7">
        <v>4</v>
      </c>
      <c r="E42" s="7" t="str">
        <f>"Character_Data!Q"&amp;(C42+1)&amp;":Q"&amp;D42+1</f>
        <v>Character_Data!Q3:Q5</v>
      </c>
      <c r="F42">
        <f>IF(COUNTIF($A$1:$A42,$A42)&gt;1,"",MAX($F$1:$F41)+1)</f>
        <v>11</v>
      </c>
      <c r="H42" t="str">
        <f t="shared" si="4"/>
        <v>Elf (Eldar)STR</v>
      </c>
      <c r="I42" t="s">
        <v>1218</v>
      </c>
      <c r="M42" s="7">
        <v>41</v>
      </c>
      <c r="N42" t="str">
        <f t="shared" si="5"/>
        <v/>
      </c>
      <c r="O42">
        <f t="shared" si="6"/>
        <v>0</v>
      </c>
    </row>
    <row r="43" spans="1:15" ht="15.75" x14ac:dyDescent="0.25">
      <c r="A43" s="1" t="s">
        <v>12</v>
      </c>
      <c r="B43" s="7" t="s">
        <v>4</v>
      </c>
      <c r="C43" s="7">
        <v>3</v>
      </c>
      <c r="D43" s="7">
        <v>5</v>
      </c>
      <c r="E43" s="7" t="str">
        <f>"Character_Data!R"&amp;(C43+1)&amp;":R"&amp;D43+1</f>
        <v>Character_Data!R4:R6</v>
      </c>
      <c r="F43" t="str">
        <f>IF(COUNTIF($A$1:$A43,$A43)&gt;1,"",MAX($F$1:$F42)+1)</f>
        <v/>
      </c>
      <c r="H43" t="str">
        <f t="shared" si="4"/>
        <v>Elf (Eldar)FIN</v>
      </c>
      <c r="I43" t="s">
        <v>1218</v>
      </c>
      <c r="M43" s="7">
        <v>42</v>
      </c>
      <c r="N43" t="str">
        <f t="shared" si="5"/>
        <v/>
      </c>
      <c r="O43">
        <f t="shared" si="6"/>
        <v>0</v>
      </c>
    </row>
    <row r="44" spans="1:15" ht="15.75" x14ac:dyDescent="0.25">
      <c r="A44" s="1" t="s">
        <v>12</v>
      </c>
      <c r="B44" s="7" t="s">
        <v>5</v>
      </c>
      <c r="C44" s="7">
        <v>1</v>
      </c>
      <c r="D44" s="7">
        <v>5</v>
      </c>
      <c r="E44" s="7" t="str">
        <f>"Character_Data!S"&amp;(C44+1)&amp;":S"&amp;D44+1</f>
        <v>Character_Data!S2:S6</v>
      </c>
      <c r="F44" t="str">
        <f>IF(COUNTIF($A$1:$A44,$A44)&gt;1,"",MAX($F$1:$F43)+1)</f>
        <v/>
      </c>
      <c r="H44" t="str">
        <f t="shared" si="4"/>
        <v>Elf (Eldar)CRM</v>
      </c>
      <c r="I44" t="s">
        <v>1218</v>
      </c>
      <c r="M44" s="7">
        <v>43</v>
      </c>
      <c r="N44" t="str">
        <f t="shared" si="5"/>
        <v/>
      </c>
      <c r="O44">
        <f t="shared" si="6"/>
        <v>0</v>
      </c>
    </row>
    <row r="45" spans="1:15" ht="15.75" x14ac:dyDescent="0.25">
      <c r="A45" s="1" t="s">
        <v>12</v>
      </c>
      <c r="B45" s="7" t="s">
        <v>6</v>
      </c>
      <c r="C45" s="7">
        <v>1</v>
      </c>
      <c r="D45" s="7">
        <v>6</v>
      </c>
      <c r="E45" s="7" t="str">
        <f>"Character_Data!T"&amp;(C45+1)&amp;":T"&amp;D45+1</f>
        <v>Character_Data!T2:T7</v>
      </c>
      <c r="F45" t="str">
        <f>IF(COUNTIF($A$1:$A45,$A45)&gt;1,"",MAX($F$1:$F44)+1)</f>
        <v/>
      </c>
      <c r="H45" t="str">
        <f t="shared" si="4"/>
        <v>Elf (Eldar)LOR</v>
      </c>
      <c r="I45" t="s">
        <v>1218</v>
      </c>
      <c r="M45" s="7">
        <v>44</v>
      </c>
      <c r="N45" t="str">
        <f t="shared" si="5"/>
        <v/>
      </c>
      <c r="O45">
        <f t="shared" si="6"/>
        <v>0</v>
      </c>
    </row>
    <row r="46" spans="1:15" ht="15.75" x14ac:dyDescent="0.25">
      <c r="A46" s="1" t="s">
        <v>13</v>
      </c>
      <c r="B46" s="7" t="s">
        <v>3</v>
      </c>
      <c r="C46" s="7">
        <v>2</v>
      </c>
      <c r="D46" s="7">
        <v>4</v>
      </c>
      <c r="E46" s="7" t="str">
        <f>"Character_Data!Q"&amp;(C46+1)&amp;":Q"&amp;D46+1</f>
        <v>Character_Data!Q3:Q5</v>
      </c>
      <c r="F46">
        <f>IF(COUNTIF($A$1:$A46,$A46)&gt;1,"",MAX($F$1:$F45)+1)</f>
        <v>12</v>
      </c>
      <c r="H46" t="str">
        <f t="shared" si="4"/>
        <v>Elf (Leafwalker)STR</v>
      </c>
      <c r="I46" t="s">
        <v>1218</v>
      </c>
      <c r="M46" s="7">
        <v>45</v>
      </c>
      <c r="N46" t="str">
        <f t="shared" si="5"/>
        <v/>
      </c>
      <c r="O46">
        <f t="shared" si="6"/>
        <v>0</v>
      </c>
    </row>
    <row r="47" spans="1:15" ht="15.75" x14ac:dyDescent="0.25">
      <c r="A47" s="1" t="s">
        <v>13</v>
      </c>
      <c r="B47" s="7" t="s">
        <v>4</v>
      </c>
      <c r="C47" s="7">
        <v>3</v>
      </c>
      <c r="D47" s="7">
        <v>6</v>
      </c>
      <c r="E47" s="7" t="str">
        <f>"Character_Data!R"&amp;(C47+1)&amp;":R"&amp;D47+1</f>
        <v>Character_Data!R4:R7</v>
      </c>
      <c r="F47" t="str">
        <f>IF(COUNTIF($A$1:$A47,$A47)&gt;1,"",MAX($F$1:$F46)+1)</f>
        <v/>
      </c>
      <c r="H47" t="str">
        <f t="shared" si="4"/>
        <v>Elf (Leafwalker)FIN</v>
      </c>
      <c r="I47" t="s">
        <v>1218</v>
      </c>
      <c r="M47" s="7">
        <v>46</v>
      </c>
      <c r="N47" t="str">
        <f t="shared" si="5"/>
        <v/>
      </c>
      <c r="O47">
        <f t="shared" si="6"/>
        <v>0</v>
      </c>
    </row>
    <row r="48" spans="1:15" ht="15.75" x14ac:dyDescent="0.25">
      <c r="A48" s="1" t="s">
        <v>13</v>
      </c>
      <c r="B48" s="7" t="s">
        <v>5</v>
      </c>
      <c r="C48" s="7">
        <v>1</v>
      </c>
      <c r="D48" s="7">
        <v>5</v>
      </c>
      <c r="E48" s="7" t="str">
        <f>"Character_Data!S"&amp;(C48+1)&amp;":S"&amp;D48+1</f>
        <v>Character_Data!S2:S6</v>
      </c>
      <c r="F48" t="str">
        <f>IF(COUNTIF($A$1:$A48,$A48)&gt;1,"",MAX($F$1:$F47)+1)</f>
        <v/>
      </c>
      <c r="H48" t="str">
        <f t="shared" si="4"/>
        <v>Elf (Leafwalker)CRM</v>
      </c>
      <c r="I48" t="s">
        <v>1218</v>
      </c>
      <c r="M48" s="7">
        <v>47</v>
      </c>
      <c r="N48" t="str">
        <f t="shared" si="5"/>
        <v/>
      </c>
      <c r="O48">
        <f t="shared" si="6"/>
        <v>0</v>
      </c>
    </row>
    <row r="49" spans="1:15" ht="15.75" x14ac:dyDescent="0.25">
      <c r="A49" s="1" t="s">
        <v>13</v>
      </c>
      <c r="B49" s="7" t="s">
        <v>6</v>
      </c>
      <c r="C49" s="7">
        <v>1</v>
      </c>
      <c r="D49" s="7">
        <v>5</v>
      </c>
      <c r="E49" s="7" t="str">
        <f>"Character_Data!T"&amp;(C49+1)&amp;":T"&amp;D49+1</f>
        <v>Character_Data!T2:T6</v>
      </c>
      <c r="F49" t="str">
        <f>IF(COUNTIF($A$1:$A49,$A49)&gt;1,"",MAX($F$1:$F48)+1)</f>
        <v/>
      </c>
      <c r="H49" t="str">
        <f t="shared" si="4"/>
        <v>Elf (Leafwalker)LOR</v>
      </c>
      <c r="I49" t="s">
        <v>1218</v>
      </c>
      <c r="M49" s="7">
        <v>48</v>
      </c>
      <c r="N49" t="str">
        <f t="shared" si="5"/>
        <v/>
      </c>
      <c r="O49">
        <f t="shared" si="6"/>
        <v>0</v>
      </c>
    </row>
    <row r="50" spans="1:15" ht="15.75" x14ac:dyDescent="0.25">
      <c r="A50" s="1" t="s">
        <v>23</v>
      </c>
      <c r="B50" s="7" t="s">
        <v>3</v>
      </c>
      <c r="C50" s="7">
        <v>2</v>
      </c>
      <c r="D50" s="7">
        <v>4</v>
      </c>
      <c r="E50" s="7" t="str">
        <f>"Character_Data!Q"&amp;(C50+1)&amp;":Q"&amp;D50+1</f>
        <v>Character_Data!Q3:Q5</v>
      </c>
      <c r="F50">
        <f>IF(COUNTIF($A$1:$A50,$A50)&gt;1,"",MAX($F$1:$F49)+1)</f>
        <v>13</v>
      </c>
      <c r="H50" t="str">
        <f t="shared" si="4"/>
        <v>Exiled Elf (Arcane)STR</v>
      </c>
      <c r="I50" t="s">
        <v>1223</v>
      </c>
      <c r="M50" s="7">
        <v>49</v>
      </c>
      <c r="N50" t="str">
        <f t="shared" si="5"/>
        <v/>
      </c>
      <c r="O50">
        <f t="shared" si="6"/>
        <v>0</v>
      </c>
    </row>
    <row r="51" spans="1:15" ht="15.75" x14ac:dyDescent="0.25">
      <c r="A51" s="1" t="s">
        <v>23</v>
      </c>
      <c r="B51" s="7" t="s">
        <v>4</v>
      </c>
      <c r="C51" s="7">
        <v>3</v>
      </c>
      <c r="D51" s="7">
        <v>5</v>
      </c>
      <c r="E51" s="7" t="str">
        <f>"Character_Data!R"&amp;(C51+1)&amp;":R"&amp;D51+1</f>
        <v>Character_Data!R4:R6</v>
      </c>
      <c r="F51" t="str">
        <f>IF(COUNTIF($A$1:$A51,$A51)&gt;1,"",MAX($F$1:$F50)+1)</f>
        <v/>
      </c>
      <c r="H51" t="str">
        <f t="shared" si="4"/>
        <v>Exiled Elf (Arcane)FIN</v>
      </c>
      <c r="I51" t="s">
        <v>1223</v>
      </c>
      <c r="M51" s="7">
        <v>50</v>
      </c>
      <c r="N51" t="str">
        <f t="shared" si="5"/>
        <v/>
      </c>
      <c r="O51">
        <f t="shared" si="6"/>
        <v>0</v>
      </c>
    </row>
    <row r="52" spans="1:15" ht="15.75" x14ac:dyDescent="0.25">
      <c r="A52" s="1" t="s">
        <v>23</v>
      </c>
      <c r="B52" s="7" t="s">
        <v>5</v>
      </c>
      <c r="C52" s="7">
        <v>1</v>
      </c>
      <c r="D52" s="7">
        <v>5</v>
      </c>
      <c r="E52" s="7" t="str">
        <f>"Character_Data!S"&amp;(C52+1)&amp;":S"&amp;D52+1</f>
        <v>Character_Data!S2:S6</v>
      </c>
      <c r="F52" t="str">
        <f>IF(COUNTIF($A$1:$A52,$A52)&gt;1,"",MAX($F$1:$F51)+1)</f>
        <v/>
      </c>
      <c r="H52" t="str">
        <f t="shared" si="4"/>
        <v>Exiled Elf (Arcane)CRM</v>
      </c>
      <c r="I52" t="s">
        <v>1223</v>
      </c>
      <c r="M52" s="99"/>
    </row>
    <row r="53" spans="1:15" ht="15.75" x14ac:dyDescent="0.25">
      <c r="A53" s="1" t="s">
        <v>23</v>
      </c>
      <c r="B53" s="7" t="s">
        <v>6</v>
      </c>
      <c r="C53" s="7">
        <v>1</v>
      </c>
      <c r="D53" s="7">
        <v>6</v>
      </c>
      <c r="E53" s="7" t="str">
        <f>"Character_Data!T"&amp;(C53+1)&amp;":T"&amp;D53+1</f>
        <v>Character_Data!T2:T7</v>
      </c>
      <c r="F53" t="str">
        <f>IF(COUNTIF($A$1:$A53,$A53)&gt;1,"",MAX($F$1:$F52)+1)</f>
        <v/>
      </c>
      <c r="H53" t="str">
        <f t="shared" si="4"/>
        <v>Exiled Elf (Arcane)LOR</v>
      </c>
      <c r="I53" t="s">
        <v>1223</v>
      </c>
    </row>
    <row r="54" spans="1:15" ht="15.75" x14ac:dyDescent="0.25">
      <c r="A54" s="1" t="s">
        <v>22</v>
      </c>
      <c r="B54" s="7" t="s">
        <v>3</v>
      </c>
      <c r="C54" s="7">
        <v>2</v>
      </c>
      <c r="D54" s="7">
        <v>4</v>
      </c>
      <c r="E54" s="7" t="str">
        <f>"Character_Data!Q"&amp;(C54+1)&amp;":Q"&amp;D54+1</f>
        <v>Character_Data!Q3:Q5</v>
      </c>
      <c r="F54">
        <f>IF(COUNTIF($A$1:$A54,$A54)&gt;1,"",MAX($F$1:$F53)+1)</f>
        <v>14</v>
      </c>
      <c r="H54" t="str">
        <f t="shared" si="4"/>
        <v>Exiled Elf (Dark)STR</v>
      </c>
      <c r="I54" t="s">
        <v>1223</v>
      </c>
    </row>
    <row r="55" spans="1:15" ht="15.75" x14ac:dyDescent="0.25">
      <c r="A55" s="1" t="s">
        <v>22</v>
      </c>
      <c r="B55" s="7" t="s">
        <v>4</v>
      </c>
      <c r="C55" s="7">
        <v>3</v>
      </c>
      <c r="D55" s="7">
        <v>6</v>
      </c>
      <c r="E55" s="7" t="str">
        <f>"Character_Data!R"&amp;(C55+1)&amp;":R"&amp;D55+1</f>
        <v>Character_Data!R4:R7</v>
      </c>
      <c r="F55" t="str">
        <f>IF(COUNTIF($A$1:$A55,$A55)&gt;1,"",MAX($F$1:$F54)+1)</f>
        <v/>
      </c>
      <c r="H55" t="str">
        <f t="shared" si="4"/>
        <v>Exiled Elf (Dark)FIN</v>
      </c>
      <c r="I55" t="s">
        <v>1223</v>
      </c>
    </row>
    <row r="56" spans="1:15" ht="15.75" x14ac:dyDescent="0.25">
      <c r="A56" s="1" t="s">
        <v>22</v>
      </c>
      <c r="B56" s="7" t="s">
        <v>5</v>
      </c>
      <c r="C56" s="7">
        <v>1</v>
      </c>
      <c r="D56" s="7">
        <v>5</v>
      </c>
      <c r="E56" s="7" t="str">
        <f>"Character_Data!S"&amp;(C56+1)&amp;":S"&amp;D56+1</f>
        <v>Character_Data!S2:S6</v>
      </c>
      <c r="F56" t="str">
        <f>IF(COUNTIF($A$1:$A56,$A56)&gt;1,"",MAX($F$1:$F55)+1)</f>
        <v/>
      </c>
      <c r="H56" t="str">
        <f t="shared" si="4"/>
        <v>Exiled Elf (Dark)CRM</v>
      </c>
      <c r="I56" t="s">
        <v>1223</v>
      </c>
    </row>
    <row r="57" spans="1:15" ht="15.75" x14ac:dyDescent="0.25">
      <c r="A57" s="1" t="s">
        <v>22</v>
      </c>
      <c r="B57" s="7" t="s">
        <v>6</v>
      </c>
      <c r="C57" s="7">
        <v>1</v>
      </c>
      <c r="D57" s="7">
        <v>5</v>
      </c>
      <c r="E57" s="7" t="str">
        <f>"Character_Data!T"&amp;(C57+1)&amp;":T"&amp;D57+1</f>
        <v>Character_Data!T2:T6</v>
      </c>
      <c r="F57" t="str">
        <f>IF(COUNTIF($A$1:$A57,$A57)&gt;1,"",MAX($F$1:$F56)+1)</f>
        <v/>
      </c>
      <c r="H57" t="str">
        <f t="shared" si="4"/>
        <v>Exiled Elf (Dark)LOR</v>
      </c>
      <c r="I57" t="s">
        <v>1223</v>
      </c>
    </row>
    <row r="58" spans="1:15" ht="15.75" x14ac:dyDescent="0.25">
      <c r="A58" s="1" t="s">
        <v>16</v>
      </c>
      <c r="B58" s="7" t="s">
        <v>3</v>
      </c>
      <c r="C58" s="7">
        <v>2</v>
      </c>
      <c r="D58" s="7">
        <v>4</v>
      </c>
      <c r="E58" s="7" t="str">
        <f>"Character_Data!Q"&amp;(C58+1)&amp;":Q"&amp;D58+1</f>
        <v>Character_Data!Q3:Q5</v>
      </c>
      <c r="F58">
        <f>IF(COUNTIF($A$1:$A58,$A58)&gt;1,"",MAX($F$1:$F57)+1)</f>
        <v>15</v>
      </c>
      <c r="G58" t="s">
        <v>920</v>
      </c>
      <c r="H58" t="str">
        <f t="shared" si="4"/>
        <v>Faun (Forest)STR</v>
      </c>
      <c r="I58" t="s">
        <v>1220</v>
      </c>
    </row>
    <row r="59" spans="1:15" ht="15.75" x14ac:dyDescent="0.25">
      <c r="A59" s="1" t="s">
        <v>16</v>
      </c>
      <c r="B59" s="7" t="s">
        <v>4</v>
      </c>
      <c r="C59" s="7">
        <v>2</v>
      </c>
      <c r="D59" s="7">
        <v>6</v>
      </c>
      <c r="E59" s="7" t="str">
        <f>"Character_Data!R"&amp;(C59+1)&amp;":R"&amp;D59+1</f>
        <v>Character_Data!R3:R7</v>
      </c>
      <c r="F59" t="str">
        <f>IF(COUNTIF($A$1:$A59,$A59)&gt;1,"",MAX($F$1:$F58)+1)</f>
        <v/>
      </c>
      <c r="H59" t="str">
        <f t="shared" si="4"/>
        <v>Faun (Forest)FIN</v>
      </c>
      <c r="I59" t="s">
        <v>1220</v>
      </c>
    </row>
    <row r="60" spans="1:15" ht="15.75" x14ac:dyDescent="0.25">
      <c r="A60" s="1" t="s">
        <v>16</v>
      </c>
      <c r="B60" s="7" t="s">
        <v>5</v>
      </c>
      <c r="C60" s="7">
        <v>1</v>
      </c>
      <c r="D60" s="7">
        <v>5</v>
      </c>
      <c r="E60" s="7" t="str">
        <f>"Character_Data!S"&amp;(C60+1)&amp;":S"&amp;D60+1</f>
        <v>Character_Data!S2:S6</v>
      </c>
      <c r="F60" t="str">
        <f>IF(COUNTIF($A$1:$A60,$A60)&gt;1,"",MAX($F$1:$F59)+1)</f>
        <v/>
      </c>
      <c r="H60" t="str">
        <f t="shared" si="4"/>
        <v>Faun (Forest)CRM</v>
      </c>
      <c r="I60" t="s">
        <v>1220</v>
      </c>
    </row>
    <row r="61" spans="1:15" ht="15.75" x14ac:dyDescent="0.25">
      <c r="A61" s="1" t="s">
        <v>16</v>
      </c>
      <c r="B61" s="7" t="s">
        <v>6</v>
      </c>
      <c r="C61" s="7">
        <v>2</v>
      </c>
      <c r="D61" s="7">
        <v>4</v>
      </c>
      <c r="E61" s="7" t="str">
        <f>"Character_Data!T"&amp;(C61+1)&amp;":T"&amp;D61+1</f>
        <v>Character_Data!T3:T5</v>
      </c>
      <c r="F61" t="str">
        <f>IF(COUNTIF($A$1:$A61,$A61)&gt;1,"",MAX($F$1:$F60)+1)</f>
        <v/>
      </c>
      <c r="H61" t="str">
        <f t="shared" si="4"/>
        <v>Faun (Forest)LOR</v>
      </c>
      <c r="I61" t="s">
        <v>1220</v>
      </c>
    </row>
    <row r="62" spans="1:15" ht="15.75" x14ac:dyDescent="0.25">
      <c r="A62" s="1" t="s">
        <v>17</v>
      </c>
      <c r="B62" s="7" t="s">
        <v>3</v>
      </c>
      <c r="C62" s="7">
        <v>2</v>
      </c>
      <c r="D62" s="7">
        <v>4</v>
      </c>
      <c r="E62" s="7" t="str">
        <f>"Character_Data!Q"&amp;(C62+1)&amp;":Q"&amp;D62+1</f>
        <v>Character_Data!Q3:Q5</v>
      </c>
      <c r="F62">
        <f>IF(COUNTIF($A$1:$A62,$A62)&gt;1,"",MAX($F$1:$F61)+1)</f>
        <v>16</v>
      </c>
      <c r="G62" t="s">
        <v>920</v>
      </c>
      <c r="H62" t="str">
        <f t="shared" si="4"/>
        <v>Faun (River)STR</v>
      </c>
      <c r="I62" t="s">
        <v>1220</v>
      </c>
    </row>
    <row r="63" spans="1:15" ht="15.75" x14ac:dyDescent="0.25">
      <c r="A63" s="1" t="s">
        <v>17</v>
      </c>
      <c r="B63" s="7" t="s">
        <v>4</v>
      </c>
      <c r="C63" s="7">
        <v>2</v>
      </c>
      <c r="D63" s="7">
        <v>5</v>
      </c>
      <c r="E63" s="7" t="str">
        <f>"Character_Data!R"&amp;(C63+1)&amp;":R"&amp;D63+1</f>
        <v>Character_Data!R3:R6</v>
      </c>
      <c r="F63" t="str">
        <f>IF(COUNTIF($A$1:$A63,$A63)&gt;1,"",MAX($F$1:$F62)+1)</f>
        <v/>
      </c>
      <c r="H63" t="str">
        <f t="shared" si="4"/>
        <v>Faun (River)FIN</v>
      </c>
      <c r="I63" t="s">
        <v>1220</v>
      </c>
    </row>
    <row r="64" spans="1:15" ht="15.75" x14ac:dyDescent="0.25">
      <c r="A64" s="1" t="s">
        <v>17</v>
      </c>
      <c r="B64" s="7" t="s">
        <v>5</v>
      </c>
      <c r="C64" s="7">
        <v>1</v>
      </c>
      <c r="D64" s="7">
        <v>5</v>
      </c>
      <c r="E64" s="7" t="str">
        <f>"Character_Data!S"&amp;(C64+1)&amp;":S"&amp;D64+1</f>
        <v>Character_Data!S2:S6</v>
      </c>
      <c r="F64" t="str">
        <f>IF(COUNTIF($A$1:$A64,$A64)&gt;1,"",MAX($F$1:$F63)+1)</f>
        <v/>
      </c>
      <c r="H64" t="str">
        <f t="shared" si="4"/>
        <v>Faun (River)CRM</v>
      </c>
      <c r="I64" t="s">
        <v>1220</v>
      </c>
    </row>
    <row r="65" spans="1:23" ht="15.75" x14ac:dyDescent="0.25">
      <c r="A65" s="1" t="s">
        <v>17</v>
      </c>
      <c r="B65" s="7" t="s">
        <v>6</v>
      </c>
      <c r="C65" s="7">
        <v>2</v>
      </c>
      <c r="D65" s="7">
        <v>5</v>
      </c>
      <c r="E65" s="7" t="str">
        <f>"Character_Data!T"&amp;(C65+1)&amp;":T"&amp;D65+1</f>
        <v>Character_Data!T3:T6</v>
      </c>
      <c r="F65" t="str">
        <f>IF(COUNTIF($A$1:$A65,$A65)&gt;1,"",MAX($F$1:$F64)+1)</f>
        <v/>
      </c>
      <c r="H65" t="str">
        <f t="shared" si="4"/>
        <v>Faun (River)LOR</v>
      </c>
      <c r="I65" t="s">
        <v>1220</v>
      </c>
    </row>
    <row r="66" spans="1:23" ht="15.75" x14ac:dyDescent="0.25">
      <c r="A66" s="44" t="s">
        <v>32</v>
      </c>
      <c r="B66" s="45" t="s">
        <v>3</v>
      </c>
      <c r="C66" s="7">
        <v>3</v>
      </c>
      <c r="D66" s="7">
        <v>9</v>
      </c>
      <c r="E66" s="7" t="str">
        <f>"Character_Data!Q"&amp;(C66+1)&amp;":Q"&amp;D66+1</f>
        <v>Character_Data!Q4:Q10</v>
      </c>
      <c r="F66">
        <f>IF(COUNTIF($A$1:$A66,$A66)&gt;1,"",MAX($F$1:$F65)+1)</f>
        <v>17</v>
      </c>
      <c r="G66" s="7" t="s">
        <v>1214</v>
      </c>
      <c r="H66" t="str">
        <f t="shared" si="4"/>
        <v>Giant (Hill)STR</v>
      </c>
      <c r="I66" t="s">
        <v>1214</v>
      </c>
    </row>
    <row r="67" spans="1:23" ht="15.75" x14ac:dyDescent="0.25">
      <c r="A67" s="44" t="s">
        <v>32</v>
      </c>
      <c r="B67" s="45" t="s">
        <v>4</v>
      </c>
      <c r="C67" s="7">
        <v>1</v>
      </c>
      <c r="D67" s="7">
        <v>4</v>
      </c>
      <c r="E67" s="7" t="str">
        <f>"Character_Data!R"&amp;(C67+1)&amp;":R"&amp;D67+1</f>
        <v>Character_Data!R2:R5</v>
      </c>
      <c r="F67" t="str">
        <f>IF(COUNTIF($A$1:$A67,$A67)&gt;1,"",MAX($F$1:$F66)+1)</f>
        <v/>
      </c>
      <c r="H67" t="str">
        <f t="shared" ref="H67:H130" si="7">A67&amp;B67</f>
        <v>Giant (Hill)FIN</v>
      </c>
      <c r="I67" t="s">
        <v>1214</v>
      </c>
    </row>
    <row r="68" spans="1:23" ht="15.75" x14ac:dyDescent="0.25">
      <c r="A68" s="44" t="s">
        <v>32</v>
      </c>
      <c r="B68" s="45" t="s">
        <v>5</v>
      </c>
      <c r="C68" s="7">
        <v>1</v>
      </c>
      <c r="D68" s="7">
        <v>3</v>
      </c>
      <c r="E68" s="7" t="str">
        <f>"Character_Data!S"&amp;(C68+1)&amp;":S"&amp;D68+1</f>
        <v>Character_Data!S2:S4</v>
      </c>
      <c r="F68" t="str">
        <f>IF(COUNTIF($A$1:$A68,$A68)&gt;1,"",MAX($F$1:$F67)+1)</f>
        <v/>
      </c>
      <c r="H68" t="str">
        <f t="shared" si="7"/>
        <v>Giant (Hill)CRM</v>
      </c>
      <c r="I68" t="s">
        <v>1214</v>
      </c>
    </row>
    <row r="69" spans="1:23" ht="15.75" x14ac:dyDescent="0.25">
      <c r="A69" s="44" t="s">
        <v>32</v>
      </c>
      <c r="B69" s="45" t="s">
        <v>6</v>
      </c>
      <c r="C69" s="7">
        <v>1</v>
      </c>
      <c r="D69" s="7">
        <v>3</v>
      </c>
      <c r="E69" s="7" t="str">
        <f>"Character_Data!T"&amp;(C69+1)&amp;":T"&amp;D69+1</f>
        <v>Character_Data!T2:T4</v>
      </c>
      <c r="F69" t="str">
        <f>IF(COUNTIF($A$1:$A69,$A69)&gt;1,"",MAX($F$1:$F68)+1)</f>
        <v/>
      </c>
      <c r="H69" t="str">
        <f t="shared" si="7"/>
        <v>Giant (Hill)LOR</v>
      </c>
      <c r="I69" t="s">
        <v>1214</v>
      </c>
    </row>
    <row r="70" spans="1:23" ht="15.75" x14ac:dyDescent="0.25">
      <c r="A70" s="44" t="s">
        <v>33</v>
      </c>
      <c r="B70" s="45" t="s">
        <v>3</v>
      </c>
      <c r="C70" s="7">
        <v>3</v>
      </c>
      <c r="D70" s="7">
        <v>7</v>
      </c>
      <c r="E70" s="7" t="str">
        <f>"Character_Data!Q"&amp;(C70+1)&amp;":Q"&amp;D70+1</f>
        <v>Character_Data!Q4:Q8</v>
      </c>
      <c r="F70">
        <f>IF(COUNTIF($A$1:$A70,$A70)&gt;1,"",MAX($F$1:$F69)+1)</f>
        <v>18</v>
      </c>
      <c r="G70" s="7" t="s">
        <v>1214</v>
      </c>
      <c r="H70" t="str">
        <f t="shared" si="7"/>
        <v>Giant (Mountain)STR</v>
      </c>
      <c r="I70" t="s">
        <v>1214</v>
      </c>
    </row>
    <row r="71" spans="1:23" ht="15.75" x14ac:dyDescent="0.25">
      <c r="A71" s="44" t="s">
        <v>33</v>
      </c>
      <c r="B71" s="45" t="s">
        <v>4</v>
      </c>
      <c r="C71" s="7">
        <v>1</v>
      </c>
      <c r="D71" s="7">
        <v>4</v>
      </c>
      <c r="E71" s="7" t="str">
        <f>"Character_Data!R"&amp;(C71+1)&amp;":R"&amp;D71+1</f>
        <v>Character_Data!R2:R5</v>
      </c>
      <c r="F71" t="str">
        <f>IF(COUNTIF($A$1:$A71,$A71)&gt;1,"",MAX($F$1:$F70)+1)</f>
        <v/>
      </c>
      <c r="H71" t="str">
        <f t="shared" si="7"/>
        <v>Giant (Mountain)FIN</v>
      </c>
      <c r="I71" t="s">
        <v>1214</v>
      </c>
    </row>
    <row r="72" spans="1:23" ht="15.75" x14ac:dyDescent="0.25">
      <c r="A72" s="44" t="s">
        <v>33</v>
      </c>
      <c r="B72" s="45" t="s">
        <v>5</v>
      </c>
      <c r="C72" s="7">
        <v>1</v>
      </c>
      <c r="D72" s="7">
        <v>3</v>
      </c>
      <c r="E72" s="7" t="str">
        <f>"Character_Data!S"&amp;(C72+1)&amp;":S"&amp;D72+1</f>
        <v>Character_Data!S2:S4</v>
      </c>
      <c r="F72" t="str">
        <f>IF(COUNTIF($A$1:$A72,$A72)&gt;1,"",MAX($F$1:$F71)+1)</f>
        <v/>
      </c>
      <c r="H72" t="str">
        <f t="shared" si="7"/>
        <v>Giant (Mountain)CRM</v>
      </c>
      <c r="I72" t="s">
        <v>1214</v>
      </c>
    </row>
    <row r="73" spans="1:23" ht="15.75" x14ac:dyDescent="0.25">
      <c r="A73" s="44" t="s">
        <v>33</v>
      </c>
      <c r="B73" s="45" t="s">
        <v>6</v>
      </c>
      <c r="C73" s="7">
        <v>1</v>
      </c>
      <c r="D73" s="7">
        <v>5</v>
      </c>
      <c r="E73" s="7" t="str">
        <f>"Character_Data!T"&amp;(C73+1)&amp;":T"&amp;D73+1</f>
        <v>Character_Data!T2:T6</v>
      </c>
      <c r="F73" t="str">
        <f>IF(COUNTIF($A$1:$A73,$A73)&gt;1,"",MAX($F$1:$F72)+1)</f>
        <v/>
      </c>
      <c r="H73" t="str">
        <f t="shared" si="7"/>
        <v>Giant (Mountain)LOR</v>
      </c>
      <c r="I73" t="s">
        <v>1214</v>
      </c>
      <c r="V73" s="46"/>
      <c r="W73" s="46"/>
    </row>
    <row r="74" spans="1:23" ht="15.75" x14ac:dyDescent="0.25">
      <c r="A74" s="1" t="s">
        <v>9</v>
      </c>
      <c r="B74" s="7" t="s">
        <v>3</v>
      </c>
      <c r="C74" s="7">
        <v>2</v>
      </c>
      <c r="D74" s="7">
        <v>5</v>
      </c>
      <c r="E74" s="7" t="str">
        <f>"Character_Data!Q"&amp;(C74+1)&amp;":Q"&amp;D74+1</f>
        <v>Character_Data!Q3:Q6</v>
      </c>
      <c r="F74">
        <f>IF(COUNTIF($A$1:$A74,$A74)&gt;1,"",MAX($F$1:$F73)+1)</f>
        <v>19</v>
      </c>
      <c r="H74" t="str">
        <f t="shared" si="7"/>
        <v>Man (Ranger)STR</v>
      </c>
      <c r="I74" t="s">
        <v>1217</v>
      </c>
      <c r="V74" s="46"/>
      <c r="W74" s="46"/>
    </row>
    <row r="75" spans="1:23" ht="15.75" x14ac:dyDescent="0.25">
      <c r="A75" s="1" t="s">
        <v>9</v>
      </c>
      <c r="B75" s="7" t="s">
        <v>4</v>
      </c>
      <c r="C75" s="7">
        <v>2</v>
      </c>
      <c r="D75" s="7">
        <v>6</v>
      </c>
      <c r="E75" s="7" t="str">
        <f>"Character_Data!R"&amp;(C75+1)&amp;":R"&amp;D75+1</f>
        <v>Character_Data!R3:R7</v>
      </c>
      <c r="F75" t="str">
        <f>IF(COUNTIF($A$1:$A75,$A75)&gt;1,"",MAX($F$1:$F74)+1)</f>
        <v/>
      </c>
      <c r="H75" t="str">
        <f t="shared" si="7"/>
        <v>Man (Ranger)FIN</v>
      </c>
      <c r="I75" t="s">
        <v>1217</v>
      </c>
      <c r="V75" s="46"/>
      <c r="W75" s="46"/>
    </row>
    <row r="76" spans="1:23" ht="15.75" x14ac:dyDescent="0.25">
      <c r="A76" s="1" t="s">
        <v>9</v>
      </c>
      <c r="B76" s="7" t="s">
        <v>5</v>
      </c>
      <c r="C76" s="7">
        <v>1</v>
      </c>
      <c r="D76" s="7">
        <v>4</v>
      </c>
      <c r="E76" s="7" t="str">
        <f>"Character_Data!S"&amp;(C76+1)&amp;":S"&amp;D76+1</f>
        <v>Character_Data!S2:S5</v>
      </c>
      <c r="F76" t="str">
        <f>IF(COUNTIF($A$1:$A76,$A76)&gt;1,"",MAX($F$1:$F75)+1)</f>
        <v/>
      </c>
      <c r="H76" t="str">
        <f t="shared" si="7"/>
        <v>Man (Ranger)CRM</v>
      </c>
      <c r="I76" t="s">
        <v>1217</v>
      </c>
      <c r="V76" s="46"/>
      <c r="W76" s="46"/>
    </row>
    <row r="77" spans="1:23" ht="15.75" x14ac:dyDescent="0.25">
      <c r="A77" s="1" t="s">
        <v>9</v>
      </c>
      <c r="B77" s="7" t="s">
        <v>6</v>
      </c>
      <c r="C77" s="7">
        <v>1</v>
      </c>
      <c r="D77" s="7">
        <v>5</v>
      </c>
      <c r="E77" s="7" t="str">
        <f>"Character_Data!T"&amp;(C77+1)&amp;":T"&amp;D77+1</f>
        <v>Character_Data!T2:T6</v>
      </c>
      <c r="F77" t="str">
        <f>IF(COUNTIF($A$1:$A77,$A77)&gt;1,"",MAX($F$1:$F76)+1)</f>
        <v/>
      </c>
      <c r="H77" t="str">
        <f t="shared" si="7"/>
        <v>Man (Ranger)LOR</v>
      </c>
      <c r="I77" t="s">
        <v>1217</v>
      </c>
      <c r="V77" s="46"/>
      <c r="W77" s="46"/>
    </row>
    <row r="78" spans="1:23" ht="15.75" x14ac:dyDescent="0.25">
      <c r="A78" s="1" t="s">
        <v>10</v>
      </c>
      <c r="B78" s="7" t="s">
        <v>3</v>
      </c>
      <c r="C78" s="7">
        <v>2</v>
      </c>
      <c r="D78" s="7">
        <v>6</v>
      </c>
      <c r="E78" s="7" t="str">
        <f>"Character_Data!Q"&amp;(C78+1)&amp;":Q"&amp;D78+1</f>
        <v>Character_Data!Q3:Q7</v>
      </c>
      <c r="F78">
        <f>IF(COUNTIF($A$1:$A78,$A78)&gt;1,"",MAX($F$1:$F77)+1)</f>
        <v>20</v>
      </c>
      <c r="H78" t="str">
        <f t="shared" si="7"/>
        <v>Man (Urban)STR</v>
      </c>
      <c r="I78" t="s">
        <v>1217</v>
      </c>
      <c r="V78" s="46"/>
      <c r="W78" s="46"/>
    </row>
    <row r="79" spans="1:23" ht="15.75" x14ac:dyDescent="0.25">
      <c r="A79" s="1" t="s">
        <v>10</v>
      </c>
      <c r="B79" s="7" t="s">
        <v>4</v>
      </c>
      <c r="C79" s="7">
        <v>2</v>
      </c>
      <c r="D79" s="7">
        <v>5</v>
      </c>
      <c r="E79" s="7" t="str">
        <f>"Character_Data!R"&amp;(C79+1)&amp;":R"&amp;D79+1</f>
        <v>Character_Data!R3:R6</v>
      </c>
      <c r="F79" t="str">
        <f>IF(COUNTIF($A$1:$A79,$A79)&gt;1,"",MAX($F$1:$F78)+1)</f>
        <v/>
      </c>
      <c r="H79" t="str">
        <f t="shared" si="7"/>
        <v>Man (Urban)FIN</v>
      </c>
      <c r="I79" t="s">
        <v>1217</v>
      </c>
      <c r="V79" s="46"/>
      <c r="W79" s="46"/>
    </row>
    <row r="80" spans="1:23" ht="15.75" x14ac:dyDescent="0.25">
      <c r="A80" s="1" t="s">
        <v>10</v>
      </c>
      <c r="B80" s="7" t="s">
        <v>5</v>
      </c>
      <c r="C80" s="7">
        <v>1</v>
      </c>
      <c r="D80" s="7">
        <v>5</v>
      </c>
      <c r="E80" s="7" t="str">
        <f>"Character_Data!S"&amp;(C80+1)&amp;":S"&amp;D80+1</f>
        <v>Character_Data!S2:S6</v>
      </c>
      <c r="F80" t="str">
        <f>IF(COUNTIF($A$1:$A80,$A80)&gt;1,"",MAX($F$1:$F79)+1)</f>
        <v/>
      </c>
      <c r="H80" t="str">
        <f t="shared" si="7"/>
        <v>Man (Urban)CRM</v>
      </c>
      <c r="I80" t="s">
        <v>1217</v>
      </c>
      <c r="V80" s="46"/>
      <c r="W80" s="46"/>
    </row>
    <row r="81" spans="1:23" ht="15.75" x14ac:dyDescent="0.25">
      <c r="A81" s="1" t="s">
        <v>10</v>
      </c>
      <c r="B81" s="7" t="s">
        <v>6</v>
      </c>
      <c r="C81" s="7">
        <v>1</v>
      </c>
      <c r="D81" s="7">
        <v>4</v>
      </c>
      <c r="E81" s="7" t="str">
        <f>"Character_Data!T"&amp;(C81+1)&amp;":T"&amp;D81+1</f>
        <v>Character_Data!T2:T5</v>
      </c>
      <c r="F81" t="str">
        <f>IF(COUNTIF($A$1:$A81,$A81)&gt;1,"",MAX($F$1:$F80)+1)</f>
        <v/>
      </c>
      <c r="H81" t="str">
        <f t="shared" si="7"/>
        <v>Man (Urban)LOR</v>
      </c>
      <c r="I81" t="s">
        <v>1217</v>
      </c>
      <c r="V81" s="46"/>
      <c r="W81" s="46"/>
    </row>
    <row r="82" spans="1:23" ht="15.75" x14ac:dyDescent="0.25">
      <c r="A82" s="1" t="s">
        <v>24</v>
      </c>
      <c r="B82" s="7" t="s">
        <v>3</v>
      </c>
      <c r="C82" s="7">
        <v>3</v>
      </c>
      <c r="D82" s="7">
        <v>7</v>
      </c>
      <c r="E82" s="7" t="str">
        <f>"Character_Data!Q"&amp;(C82+1)&amp;":Q"&amp;D82+1</f>
        <v>Character_Data!Q4:Q8</v>
      </c>
      <c r="F82">
        <f>IF(COUNTIF($A$1:$A82,$A82)&gt;1,"",MAX($F$1:$F81)+1)</f>
        <v>21</v>
      </c>
      <c r="G82" s="7" t="s">
        <v>1212</v>
      </c>
      <c r="H82" t="str">
        <f t="shared" si="7"/>
        <v>Minotaur (Bull)STR</v>
      </c>
      <c r="I82" t="s">
        <v>1212</v>
      </c>
      <c r="V82" s="46"/>
      <c r="W82" s="46"/>
    </row>
    <row r="83" spans="1:23" ht="15.75" x14ac:dyDescent="0.25">
      <c r="A83" s="1" t="s">
        <v>24</v>
      </c>
      <c r="B83" s="7" t="s">
        <v>4</v>
      </c>
      <c r="C83" s="7">
        <v>1</v>
      </c>
      <c r="D83" s="7">
        <v>4</v>
      </c>
      <c r="E83" s="7" t="str">
        <f>"Character_Data!R"&amp;(C83+1)&amp;":R"&amp;D83+1</f>
        <v>Character_Data!R2:R5</v>
      </c>
      <c r="F83" t="str">
        <f>IF(COUNTIF($A$1:$A83,$A83)&gt;1,"",MAX($F$1:$F82)+1)</f>
        <v/>
      </c>
      <c r="H83" t="str">
        <f t="shared" si="7"/>
        <v>Minotaur (Bull)FIN</v>
      </c>
      <c r="I83" t="s">
        <v>1212</v>
      </c>
      <c r="V83" s="46"/>
      <c r="W83" s="46"/>
    </row>
    <row r="84" spans="1:23" ht="15.75" x14ac:dyDescent="0.25">
      <c r="A84" s="1" t="s">
        <v>24</v>
      </c>
      <c r="B84" s="7" t="s">
        <v>5</v>
      </c>
      <c r="C84" s="7">
        <v>1</v>
      </c>
      <c r="D84" s="7">
        <v>3</v>
      </c>
      <c r="E84" s="7" t="str">
        <f>"Character_Data!S"&amp;(C84+1)&amp;":S"&amp;D84+1</f>
        <v>Character_Data!S2:S4</v>
      </c>
      <c r="F84" t="str">
        <f>IF(COUNTIF($A$1:$A84,$A84)&gt;1,"",MAX($F$1:$F83)+1)</f>
        <v/>
      </c>
      <c r="H84" t="str">
        <f t="shared" si="7"/>
        <v>Minotaur (Bull)CRM</v>
      </c>
      <c r="I84" t="s">
        <v>1212</v>
      </c>
      <c r="V84" s="46"/>
      <c r="W84" s="46"/>
    </row>
    <row r="85" spans="1:23" ht="15.75" x14ac:dyDescent="0.25">
      <c r="A85" s="1" t="s">
        <v>24</v>
      </c>
      <c r="B85" s="7" t="s">
        <v>6</v>
      </c>
      <c r="C85" s="7">
        <v>1</v>
      </c>
      <c r="D85" s="7">
        <v>4</v>
      </c>
      <c r="E85" s="7" t="str">
        <f>"Character_Data!T"&amp;(C85+1)&amp;":T"&amp;D85+1</f>
        <v>Character_Data!T2:T5</v>
      </c>
      <c r="F85" t="str">
        <f>IF(COUNTIF($A$1:$A85,$A85)&gt;1,"",MAX($F$1:$F84)+1)</f>
        <v/>
      </c>
      <c r="H85" t="str">
        <f t="shared" si="7"/>
        <v>Minotaur (Bull)LOR</v>
      </c>
      <c r="I85" t="s">
        <v>1212</v>
      </c>
      <c r="V85" s="46"/>
      <c r="W85" s="46"/>
    </row>
    <row r="86" spans="1:23" ht="15.75" x14ac:dyDescent="0.25">
      <c r="A86" s="1" t="s">
        <v>25</v>
      </c>
      <c r="B86" s="7" t="s">
        <v>3</v>
      </c>
      <c r="C86" s="7">
        <v>3</v>
      </c>
      <c r="D86" s="7">
        <v>6</v>
      </c>
      <c r="E86" s="7" t="str">
        <f>"Character_Data!Q"&amp;(C86+1)&amp;":Q"&amp;D86+1</f>
        <v>Character_Data!Q4:Q7</v>
      </c>
      <c r="F86">
        <f>IF(COUNTIF($A$1:$A86,$A86)&gt;1,"",MAX($F$1:$F85)+1)</f>
        <v>22</v>
      </c>
      <c r="G86" s="7" t="s">
        <v>1212</v>
      </c>
      <c r="H86" t="str">
        <f t="shared" si="7"/>
        <v>Minotaur (Tauren)STR</v>
      </c>
      <c r="I86" t="s">
        <v>1212</v>
      </c>
      <c r="V86" s="46"/>
      <c r="W86" s="46"/>
    </row>
    <row r="87" spans="1:23" ht="15.75" x14ac:dyDescent="0.25">
      <c r="A87" s="1" t="s">
        <v>25</v>
      </c>
      <c r="B87" s="7" t="s">
        <v>4</v>
      </c>
      <c r="C87" s="7">
        <v>1</v>
      </c>
      <c r="D87" s="7">
        <v>5</v>
      </c>
      <c r="E87" s="7" t="str">
        <f>"Character_Data!R"&amp;(C87+1)&amp;":R"&amp;D87+1</f>
        <v>Character_Data!R2:R6</v>
      </c>
      <c r="F87" t="str">
        <f>IF(COUNTIF($A$1:$A87,$A87)&gt;1,"",MAX($F$1:$F86)+1)</f>
        <v/>
      </c>
      <c r="H87" t="str">
        <f t="shared" si="7"/>
        <v>Minotaur (Tauren)FIN</v>
      </c>
      <c r="I87" t="s">
        <v>1212</v>
      </c>
    </row>
    <row r="88" spans="1:23" ht="15.75" x14ac:dyDescent="0.25">
      <c r="A88" s="1" t="s">
        <v>25</v>
      </c>
      <c r="B88" s="7" t="s">
        <v>5</v>
      </c>
      <c r="C88" s="7">
        <v>1</v>
      </c>
      <c r="D88" s="7">
        <v>3</v>
      </c>
      <c r="E88" s="7" t="str">
        <f>"Character_Data!S"&amp;(C88+1)&amp;":S"&amp;D88+1</f>
        <v>Character_Data!S2:S4</v>
      </c>
      <c r="F88" t="str">
        <f>IF(COUNTIF($A$1:$A88,$A88)&gt;1,"",MAX($F$1:$F87)+1)</f>
        <v/>
      </c>
      <c r="H88" t="str">
        <f t="shared" si="7"/>
        <v>Minotaur (Tauren)CRM</v>
      </c>
      <c r="I88" t="s">
        <v>1212</v>
      </c>
    </row>
    <row r="89" spans="1:23" ht="15.75" x14ac:dyDescent="0.25">
      <c r="A89" s="1" t="s">
        <v>25</v>
      </c>
      <c r="B89" s="7" t="s">
        <v>6</v>
      </c>
      <c r="C89" s="7">
        <v>1</v>
      </c>
      <c r="D89" s="7">
        <v>4</v>
      </c>
      <c r="E89" s="7" t="str">
        <f>"Character_Data!T"&amp;(C89+1)&amp;":T"&amp;D89+1</f>
        <v>Character_Data!T2:T5</v>
      </c>
      <c r="F89" t="str">
        <f>IF(COUNTIF($A$1:$A89,$A89)&gt;1,"",MAX($F$1:$F88)+1)</f>
        <v/>
      </c>
      <c r="H89" t="str">
        <f t="shared" si="7"/>
        <v>Minotaur (Tauren)LOR</v>
      </c>
      <c r="I89" t="s">
        <v>1212</v>
      </c>
    </row>
    <row r="90" spans="1:23" s="46" customFormat="1" ht="15.75" x14ac:dyDescent="0.25">
      <c r="A90" s="1" t="s">
        <v>26</v>
      </c>
      <c r="B90" s="7" t="s">
        <v>3</v>
      </c>
      <c r="C90" s="7">
        <v>2</v>
      </c>
      <c r="D90" s="7">
        <v>6</v>
      </c>
      <c r="E90" s="7" t="str">
        <f>"Character_Data!Q"&amp;(C90+1)&amp;":Q"&amp;D90+1</f>
        <v>Character_Data!Q3:Q7</v>
      </c>
      <c r="F90">
        <f>IF(COUNTIF($A$1:$A90,$A90)&gt;1,"",MAX($F$1:$F89)+1)</f>
        <v>23</v>
      </c>
      <c r="G90"/>
      <c r="H90" t="str">
        <f t="shared" si="7"/>
        <v>Satyr (Drunken Sot)STR</v>
      </c>
      <c r="I90" s="46" t="s">
        <v>1224</v>
      </c>
      <c r="V90"/>
      <c r="W90"/>
    </row>
    <row r="91" spans="1:23" s="46" customFormat="1" ht="15.75" x14ac:dyDescent="0.25">
      <c r="A91" s="1" t="s">
        <v>26</v>
      </c>
      <c r="B91" s="7" t="s">
        <v>4</v>
      </c>
      <c r="C91" s="7">
        <v>2</v>
      </c>
      <c r="D91" s="7">
        <v>5</v>
      </c>
      <c r="E91" s="7" t="str">
        <f>"Character_Data!R"&amp;(C91+1)&amp;":R"&amp;D91+1</f>
        <v>Character_Data!R3:R6</v>
      </c>
      <c r="F91" t="str">
        <f>IF(COUNTIF($A$1:$A91,$A91)&gt;1,"",MAX($F$1:$F90)+1)</f>
        <v/>
      </c>
      <c r="G91"/>
      <c r="H91" t="str">
        <f t="shared" si="7"/>
        <v>Satyr (Drunken Sot)FIN</v>
      </c>
      <c r="I91" s="46" t="s">
        <v>1224</v>
      </c>
      <c r="V91"/>
      <c r="W91"/>
    </row>
    <row r="92" spans="1:23" s="46" customFormat="1" ht="15.75" x14ac:dyDescent="0.25">
      <c r="A92" s="1" t="s">
        <v>26</v>
      </c>
      <c r="B92" s="7" t="s">
        <v>5</v>
      </c>
      <c r="C92" s="7">
        <v>1</v>
      </c>
      <c r="D92" s="7">
        <v>3</v>
      </c>
      <c r="E92" s="7" t="str">
        <f>"Character_Data!S"&amp;(C92+1)&amp;":S"&amp;D92+1</f>
        <v>Character_Data!S2:S4</v>
      </c>
      <c r="F92" t="str">
        <f>IF(COUNTIF($A$1:$A92,$A92)&gt;1,"",MAX($F$1:$F91)+1)</f>
        <v/>
      </c>
      <c r="G92"/>
      <c r="H92" t="str">
        <f t="shared" si="7"/>
        <v>Satyr (Drunken Sot)CRM</v>
      </c>
      <c r="I92" s="46" t="s">
        <v>1224</v>
      </c>
      <c r="V92"/>
      <c r="W92"/>
    </row>
    <row r="93" spans="1:23" s="46" customFormat="1" ht="15.75" x14ac:dyDescent="0.25">
      <c r="A93" s="1" t="s">
        <v>26</v>
      </c>
      <c r="B93" s="7" t="s">
        <v>6</v>
      </c>
      <c r="C93" s="7">
        <v>2</v>
      </c>
      <c r="D93" s="7">
        <v>4</v>
      </c>
      <c r="E93" s="7" t="str">
        <f>"Character_Data!T"&amp;(C93+1)&amp;":T"&amp;D93+1</f>
        <v>Character_Data!T3:T5</v>
      </c>
      <c r="F93" t="str">
        <f>IF(COUNTIF($A$1:$A93,$A93)&gt;1,"",MAX($F$1:$F92)+1)</f>
        <v/>
      </c>
      <c r="G93"/>
      <c r="H93" t="str">
        <f t="shared" si="7"/>
        <v>Satyr (Drunken Sot)LOR</v>
      </c>
      <c r="I93" s="46" t="s">
        <v>1224</v>
      </c>
      <c r="V93"/>
      <c r="W93"/>
    </row>
    <row r="94" spans="1:23" s="46" customFormat="1" ht="15.75" x14ac:dyDescent="0.25">
      <c r="A94" s="1" t="s">
        <v>27</v>
      </c>
      <c r="B94" s="7" t="s">
        <v>3</v>
      </c>
      <c r="C94" s="7">
        <v>2</v>
      </c>
      <c r="D94" s="7">
        <v>5</v>
      </c>
      <c r="E94" s="7" t="str">
        <f>"Character_Data!Q"&amp;(C94+1)&amp;":Q"&amp;D94+1</f>
        <v>Character_Data!Q3:Q6</v>
      </c>
      <c r="F94">
        <f>IF(COUNTIF($A$1:$A94,$A94)&gt;1,"",MAX($F$1:$F93)+1)</f>
        <v>24</v>
      </c>
      <c r="G94"/>
      <c r="H94" t="str">
        <f t="shared" si="7"/>
        <v>Satyr (Mystic)STR</v>
      </c>
      <c r="I94" s="46" t="s">
        <v>1224</v>
      </c>
      <c r="V94"/>
      <c r="W94"/>
    </row>
    <row r="95" spans="1:23" s="46" customFormat="1" ht="15.75" x14ac:dyDescent="0.25">
      <c r="A95" s="1" t="s">
        <v>27</v>
      </c>
      <c r="B95" s="7" t="s">
        <v>4</v>
      </c>
      <c r="C95" s="7">
        <v>2</v>
      </c>
      <c r="D95" s="7">
        <v>5</v>
      </c>
      <c r="E95" s="7" t="str">
        <f>"Character_Data!R"&amp;(C95+1)&amp;":R"&amp;D95+1</f>
        <v>Character_Data!R3:R6</v>
      </c>
      <c r="F95" t="str">
        <f>IF(COUNTIF($A$1:$A95,$A95)&gt;1,"",MAX($F$1:$F94)+1)</f>
        <v/>
      </c>
      <c r="G95"/>
      <c r="H95" t="str">
        <f t="shared" si="7"/>
        <v>Satyr (Mystic)FIN</v>
      </c>
      <c r="I95" s="46" t="s">
        <v>1224</v>
      </c>
      <c r="V95"/>
      <c r="W95"/>
    </row>
    <row r="96" spans="1:23" s="46" customFormat="1" ht="15.75" x14ac:dyDescent="0.25">
      <c r="A96" s="1" t="s">
        <v>27</v>
      </c>
      <c r="B96" s="7" t="s">
        <v>5</v>
      </c>
      <c r="C96" s="7">
        <v>1</v>
      </c>
      <c r="D96" s="7">
        <v>3</v>
      </c>
      <c r="E96" s="7" t="str">
        <f>"Character_Data!S"&amp;(C96+1)&amp;":S"&amp;D96+1</f>
        <v>Character_Data!S2:S4</v>
      </c>
      <c r="F96" t="str">
        <f>IF(COUNTIF($A$1:$A96,$A96)&gt;1,"",MAX($F$1:$F95)+1)</f>
        <v/>
      </c>
      <c r="G96"/>
      <c r="H96" t="str">
        <f t="shared" si="7"/>
        <v>Satyr (Mystic)CRM</v>
      </c>
      <c r="I96" s="46" t="s">
        <v>1224</v>
      </c>
      <c r="V96"/>
      <c r="W96"/>
    </row>
    <row r="97" spans="1:23" s="46" customFormat="1" ht="15.75" x14ac:dyDescent="0.25">
      <c r="A97" s="1" t="s">
        <v>27</v>
      </c>
      <c r="B97" s="7" t="s">
        <v>6</v>
      </c>
      <c r="C97" s="7">
        <v>2</v>
      </c>
      <c r="D97" s="7">
        <v>5</v>
      </c>
      <c r="E97" s="7" t="str">
        <f>"Character_Data!T"&amp;(C97+1)&amp;":T"&amp;D97+1</f>
        <v>Character_Data!T3:T6</v>
      </c>
      <c r="F97" t="str">
        <f>IF(COUNTIF($A$1:$A97,$A97)&gt;1,"",MAX($F$1:$F96)+1)</f>
        <v/>
      </c>
      <c r="G97"/>
      <c r="H97" t="str">
        <f t="shared" si="7"/>
        <v>Satyr (Mystic)LOR</v>
      </c>
      <c r="I97" s="46" t="s">
        <v>1224</v>
      </c>
      <c r="V97"/>
      <c r="W97"/>
    </row>
    <row r="98" spans="1:23" s="46" customFormat="1" ht="15.75" x14ac:dyDescent="0.25">
      <c r="A98" s="1" t="s">
        <v>28</v>
      </c>
      <c r="B98" s="7" t="s">
        <v>3</v>
      </c>
      <c r="C98" s="7">
        <v>2</v>
      </c>
      <c r="D98" s="7">
        <v>4</v>
      </c>
      <c r="E98" s="7" t="str">
        <f>"Character_Data!Q"&amp;(C98+1)&amp;":Q"&amp;D98+1</f>
        <v>Character_Data!Q3:Q5</v>
      </c>
      <c r="F98">
        <f>IF(COUNTIF($A$1:$A98,$A98)&gt;1,"",MAX($F$1:$F97)+1)</f>
        <v>25</v>
      </c>
      <c r="G98" s="7" t="s">
        <v>1213</v>
      </c>
      <c r="H98" t="str">
        <f t="shared" si="7"/>
        <v>Spectre (Ethereal)STR</v>
      </c>
      <c r="I98" s="46" t="s">
        <v>1213</v>
      </c>
      <c r="V98"/>
      <c r="W98"/>
    </row>
    <row r="99" spans="1:23" s="46" customFormat="1" ht="15.75" x14ac:dyDescent="0.25">
      <c r="A99" s="1" t="s">
        <v>28</v>
      </c>
      <c r="B99" s="7" t="s">
        <v>4</v>
      </c>
      <c r="C99" s="7">
        <v>1</v>
      </c>
      <c r="D99" s="7">
        <v>6</v>
      </c>
      <c r="E99" s="7" t="str">
        <f>"Character_Data!R"&amp;(C99+1)&amp;":R"&amp;D99+1</f>
        <v>Character_Data!R2:R7</v>
      </c>
      <c r="F99" t="str">
        <f>IF(COUNTIF($A$1:$A99,$A99)&gt;1,"",MAX($F$1:$F98)+1)</f>
        <v/>
      </c>
      <c r="G99"/>
      <c r="H99" t="str">
        <f t="shared" si="7"/>
        <v>Spectre (Ethereal)FIN</v>
      </c>
      <c r="I99" s="46" t="s">
        <v>1213</v>
      </c>
      <c r="V99"/>
      <c r="W99"/>
    </row>
    <row r="100" spans="1:23" s="46" customFormat="1" ht="15.75" x14ac:dyDescent="0.25">
      <c r="A100" s="1" t="s">
        <v>28</v>
      </c>
      <c r="B100" s="7" t="s">
        <v>5</v>
      </c>
      <c r="C100" s="7">
        <v>1</v>
      </c>
      <c r="D100" s="7">
        <v>2</v>
      </c>
      <c r="E100" s="7" t="str">
        <f>"Character_Data!S"&amp;(C100+1)&amp;":S"&amp;D100+1</f>
        <v>Character_Data!S2:S3</v>
      </c>
      <c r="F100" t="str">
        <f>IF(COUNTIF($A$1:$A100,$A100)&gt;1,"",MAX($F$1:$F99)+1)</f>
        <v/>
      </c>
      <c r="G100"/>
      <c r="H100" t="str">
        <f t="shared" si="7"/>
        <v>Spectre (Ethereal)CRM</v>
      </c>
      <c r="I100" s="46" t="s">
        <v>1213</v>
      </c>
      <c r="V100"/>
      <c r="W100"/>
    </row>
    <row r="101" spans="1:23" s="46" customFormat="1" ht="15.75" x14ac:dyDescent="0.25">
      <c r="A101" s="1" t="s">
        <v>28</v>
      </c>
      <c r="B101" s="7" t="s">
        <v>6</v>
      </c>
      <c r="C101" s="7">
        <v>2</v>
      </c>
      <c r="D101" s="7">
        <v>6</v>
      </c>
      <c r="E101" s="7" t="str">
        <f>"Character_Data!T"&amp;(C101+1)&amp;":T"&amp;D101+1</f>
        <v>Character_Data!T3:T7</v>
      </c>
      <c r="F101" t="str">
        <f>IF(COUNTIF($A$1:$A101,$A101)&gt;1,"",MAX($F$1:$F100)+1)</f>
        <v/>
      </c>
      <c r="G101"/>
      <c r="H101" t="str">
        <f t="shared" si="7"/>
        <v>Spectre (Ethereal)LOR</v>
      </c>
      <c r="I101" s="46" t="s">
        <v>1213</v>
      </c>
      <c r="V101"/>
      <c r="W101"/>
    </row>
    <row r="102" spans="1:23" s="46" customFormat="1" ht="15.75" x14ac:dyDescent="0.25">
      <c r="A102" s="1" t="s">
        <v>29</v>
      </c>
      <c r="B102" s="7" t="s">
        <v>3</v>
      </c>
      <c r="C102" s="7">
        <v>2</v>
      </c>
      <c r="D102" s="7">
        <v>5</v>
      </c>
      <c r="E102" s="7" t="str">
        <f>"Character_Data!Q"&amp;(C102+1)&amp;":Q"&amp;D102+1</f>
        <v>Character_Data!Q3:Q6</v>
      </c>
      <c r="F102">
        <f>IF(COUNTIF($A$1:$A102,$A102)&gt;1,"",MAX($F$1:$F101)+1)</f>
        <v>26</v>
      </c>
      <c r="G102" s="7" t="s">
        <v>1213</v>
      </c>
      <c r="H102" t="str">
        <f t="shared" si="7"/>
        <v>Spectre (Undead)STR</v>
      </c>
      <c r="I102" s="46" t="s">
        <v>1213</v>
      </c>
      <c r="V102"/>
      <c r="W102"/>
    </row>
    <row r="103" spans="1:23" s="46" customFormat="1" ht="15.75" x14ac:dyDescent="0.25">
      <c r="A103" s="1" t="s">
        <v>29</v>
      </c>
      <c r="B103" s="7" t="s">
        <v>4</v>
      </c>
      <c r="C103" s="7">
        <v>1</v>
      </c>
      <c r="D103" s="7">
        <v>5</v>
      </c>
      <c r="E103" s="7" t="str">
        <f>"Character_Data!R"&amp;(C103+1)&amp;":R"&amp;D103+1</f>
        <v>Character_Data!R2:R6</v>
      </c>
      <c r="F103" t="str">
        <f>IF(COUNTIF($A$1:$A103,$A103)&gt;1,"",MAX($F$1:$F102)+1)</f>
        <v/>
      </c>
      <c r="G103"/>
      <c r="H103" t="str">
        <f t="shared" si="7"/>
        <v>Spectre (Undead)FIN</v>
      </c>
      <c r="I103" s="46" t="s">
        <v>1213</v>
      </c>
      <c r="V103"/>
      <c r="W103"/>
    </row>
    <row r="104" spans="1:23" ht="15.75" x14ac:dyDescent="0.25">
      <c r="A104" s="1" t="s">
        <v>29</v>
      </c>
      <c r="B104" s="7" t="s">
        <v>5</v>
      </c>
      <c r="C104" s="7">
        <v>1</v>
      </c>
      <c r="D104" s="7">
        <v>2</v>
      </c>
      <c r="E104" s="7" t="str">
        <f>"Character_Data!S"&amp;(C104+1)&amp;":S"&amp;D104+1</f>
        <v>Character_Data!S2:S3</v>
      </c>
      <c r="F104" t="str">
        <f>IF(COUNTIF($A$1:$A104,$A104)&gt;1,"",MAX($F$1:$F103)+1)</f>
        <v/>
      </c>
      <c r="H104" t="str">
        <f t="shared" si="7"/>
        <v>Spectre (Undead)CRM</v>
      </c>
      <c r="I104" s="46" t="s">
        <v>1213</v>
      </c>
    </row>
    <row r="105" spans="1:23" ht="15.75" x14ac:dyDescent="0.25">
      <c r="A105" s="1" t="s">
        <v>29</v>
      </c>
      <c r="B105" s="7" t="s">
        <v>6</v>
      </c>
      <c r="C105" s="7">
        <v>2</v>
      </c>
      <c r="D105" s="7">
        <v>6</v>
      </c>
      <c r="E105" s="7" t="str">
        <f>"Character_Data!T"&amp;(C105+1)&amp;":T"&amp;D105+1</f>
        <v>Character_Data!T3:T7</v>
      </c>
      <c r="F105" t="str">
        <f>IF(COUNTIF($A$1:$A105,$A105)&gt;1,"",MAX($F$1:$F104)+1)</f>
        <v/>
      </c>
      <c r="H105" t="str">
        <f t="shared" si="7"/>
        <v>Spectre (Undead)LOR</v>
      </c>
      <c r="I105" s="46" t="s">
        <v>1213</v>
      </c>
    </row>
    <row r="106" spans="1:23" ht="15.75" x14ac:dyDescent="0.25">
      <c r="A106" s="1" t="s">
        <v>639</v>
      </c>
      <c r="B106" s="7" t="s">
        <v>3</v>
      </c>
      <c r="C106" s="7">
        <v>1</v>
      </c>
      <c r="D106" s="7">
        <v>4</v>
      </c>
      <c r="E106" s="7" t="str">
        <f>"Character_Data!Q"&amp;(C106+1)&amp;":Q"&amp;D106+1</f>
        <v>Character_Data!Q2:Q5</v>
      </c>
      <c r="F106">
        <f>IF(COUNTIF($A$1:$A106,$A106)&gt;1,"",MAX($F$1:$F105)+1)</f>
        <v>27</v>
      </c>
      <c r="H106" t="str">
        <f t="shared" si="7"/>
        <v>Sprite (Dark “Imp”)STR</v>
      </c>
      <c r="I106" s="46" t="s">
        <v>1226</v>
      </c>
    </row>
    <row r="107" spans="1:23" ht="15.75" x14ac:dyDescent="0.25">
      <c r="A107" s="1" t="s">
        <v>639</v>
      </c>
      <c r="B107" s="7" t="s">
        <v>4</v>
      </c>
      <c r="C107" s="7">
        <v>2</v>
      </c>
      <c r="D107" s="7">
        <v>6</v>
      </c>
      <c r="E107" s="7" t="str">
        <f>"Character_Data!R"&amp;(C107+1)&amp;":R"&amp;D107+1</f>
        <v>Character_Data!R3:R7</v>
      </c>
      <c r="F107" t="str">
        <f>IF(COUNTIF($A$1:$A107,$A107)&gt;1,"",MAX($F$1:$F106)+1)</f>
        <v/>
      </c>
      <c r="H107" t="str">
        <f t="shared" si="7"/>
        <v>Sprite (Dark “Imp”)FIN</v>
      </c>
      <c r="I107" s="46" t="s">
        <v>1226</v>
      </c>
    </row>
    <row r="108" spans="1:23" ht="15.75" x14ac:dyDescent="0.25">
      <c r="A108" s="1" t="s">
        <v>639</v>
      </c>
      <c r="B108" s="7" t="s">
        <v>5</v>
      </c>
      <c r="C108" s="7">
        <v>1</v>
      </c>
      <c r="D108" s="7">
        <v>4</v>
      </c>
      <c r="E108" s="7" t="str">
        <f>"Character_Data!S"&amp;(C108+1)&amp;":S"&amp;D108+1</f>
        <v>Character_Data!S2:S5</v>
      </c>
      <c r="F108" t="str">
        <f>IF(COUNTIF($A$1:$A108,$A108)&gt;1,"",MAX($F$1:$F107)+1)</f>
        <v/>
      </c>
      <c r="H108" t="str">
        <f t="shared" si="7"/>
        <v>Sprite (Dark “Imp”)CRM</v>
      </c>
      <c r="I108" s="46" t="s">
        <v>1226</v>
      </c>
    </row>
    <row r="109" spans="1:23" ht="15.75" x14ac:dyDescent="0.25">
      <c r="A109" s="1" t="s">
        <v>639</v>
      </c>
      <c r="B109" s="7" t="s">
        <v>6</v>
      </c>
      <c r="C109" s="7">
        <v>2</v>
      </c>
      <c r="D109" s="7">
        <v>5</v>
      </c>
      <c r="E109" s="7" t="str">
        <f>"Character_Data!T"&amp;(C109+1)&amp;":T"&amp;D109+1</f>
        <v>Character_Data!T3:T6</v>
      </c>
      <c r="F109" t="str">
        <f>IF(COUNTIF($A$1:$A109,$A109)&gt;1,"",MAX($F$1:$F108)+1)</f>
        <v/>
      </c>
      <c r="H109" t="str">
        <f t="shared" si="7"/>
        <v>Sprite (Dark “Imp”)LOR</v>
      </c>
      <c r="I109" s="46" t="s">
        <v>1226</v>
      </c>
    </row>
    <row r="110" spans="1:23" ht="15.75" x14ac:dyDescent="0.25">
      <c r="A110" s="1" t="s">
        <v>36</v>
      </c>
      <c r="B110" s="7" t="s">
        <v>3</v>
      </c>
      <c r="C110" s="7">
        <v>1</v>
      </c>
      <c r="D110" s="7">
        <v>2</v>
      </c>
      <c r="E110" s="7" t="str">
        <f>"Character_Data!Q"&amp;(C110+1)&amp;":Q"&amp;D110+1</f>
        <v>Character_Data!Q2:Q3</v>
      </c>
      <c r="F110">
        <f>IF(COUNTIF($A$1:$A110,$A110)&gt;1,"",MAX($F$1:$F109)+1)</f>
        <v>28</v>
      </c>
      <c r="H110" t="str">
        <f t="shared" si="7"/>
        <v>Sprite (Sundancer “Pixi”)STR</v>
      </c>
      <c r="I110" s="46" t="s">
        <v>1226</v>
      </c>
    </row>
    <row r="111" spans="1:23" ht="15.75" x14ac:dyDescent="0.25">
      <c r="A111" s="1" t="s">
        <v>36</v>
      </c>
      <c r="B111" s="7" t="s">
        <v>4</v>
      </c>
      <c r="C111" s="7">
        <v>2</v>
      </c>
      <c r="D111" s="7">
        <v>6</v>
      </c>
      <c r="E111" s="7" t="str">
        <f>"Character_Data!R"&amp;(C111+1)&amp;":R"&amp;D111+1</f>
        <v>Character_Data!R3:R7</v>
      </c>
      <c r="F111" t="str">
        <f>IF(COUNTIF($A$1:$A111,$A111)&gt;1,"",MAX($F$1:$F110)+1)</f>
        <v/>
      </c>
      <c r="H111" t="str">
        <f t="shared" si="7"/>
        <v>Sprite (Sundancer “Pixi”)FIN</v>
      </c>
      <c r="I111" s="46" t="s">
        <v>1226</v>
      </c>
    </row>
    <row r="112" spans="1:23" ht="15.75" x14ac:dyDescent="0.25">
      <c r="A112" s="1" t="s">
        <v>36</v>
      </c>
      <c r="B112" s="7" t="s">
        <v>5</v>
      </c>
      <c r="C112" s="7">
        <v>1</v>
      </c>
      <c r="D112" s="7">
        <v>6</v>
      </c>
      <c r="E112" s="7" t="str">
        <f>"Character_Data!S"&amp;(C112+1)&amp;":S"&amp;D112+1</f>
        <v>Character_Data!S2:S7</v>
      </c>
      <c r="F112" t="str">
        <f>IF(COUNTIF($A$1:$A112,$A112)&gt;1,"",MAX($F$1:$F111)+1)</f>
        <v/>
      </c>
      <c r="H112" t="str">
        <f t="shared" si="7"/>
        <v>Sprite (Sundancer “Pixi”)CRM</v>
      </c>
      <c r="I112" s="46" t="s">
        <v>1226</v>
      </c>
    </row>
    <row r="113" spans="1:23" ht="15.75" x14ac:dyDescent="0.25">
      <c r="A113" s="1" t="s">
        <v>36</v>
      </c>
      <c r="B113" s="7" t="s">
        <v>6</v>
      </c>
      <c r="C113" s="7">
        <v>2</v>
      </c>
      <c r="D113" s="7">
        <v>5</v>
      </c>
      <c r="E113" s="7" t="str">
        <f>"Character_Data!T"&amp;(C113+1)&amp;":T"&amp;D113+1</f>
        <v>Character_Data!T3:T6</v>
      </c>
      <c r="F113" t="str">
        <f>IF(COUNTIF($A$1:$A113,$A113)&gt;1,"",MAX($F$1:$F112)+1)</f>
        <v/>
      </c>
      <c r="H113" t="str">
        <f t="shared" si="7"/>
        <v>Sprite (Sundancer “Pixi”)LOR</v>
      </c>
      <c r="I113" s="46" t="s">
        <v>1226</v>
      </c>
    </row>
    <row r="114" spans="1:23" ht="15.75" x14ac:dyDescent="0.25">
      <c r="A114" s="44" t="s">
        <v>34</v>
      </c>
      <c r="B114" s="45" t="s">
        <v>3</v>
      </c>
      <c r="C114" s="7">
        <v>2</v>
      </c>
      <c r="D114" s="7">
        <v>6</v>
      </c>
      <c r="E114" s="7" t="str">
        <f>"Character_Data!Q"&amp;(C114+1)&amp;":Q"&amp;D114+1</f>
        <v>Character_Data!Q3:Q7</v>
      </c>
      <c r="F114">
        <f>IF(COUNTIF($A$1:$A114,$A114)&gt;1,"",MAX($F$1:$F113)+1)</f>
        <v>29</v>
      </c>
      <c r="H114" t="str">
        <f t="shared" si="7"/>
        <v>Troll (River)STR</v>
      </c>
      <c r="I114" t="s">
        <v>1225</v>
      </c>
    </row>
    <row r="115" spans="1:23" ht="15.75" x14ac:dyDescent="0.25">
      <c r="A115" s="44" t="s">
        <v>34</v>
      </c>
      <c r="B115" s="45" t="s">
        <v>4</v>
      </c>
      <c r="C115" s="7">
        <v>1</v>
      </c>
      <c r="D115" s="7">
        <v>4</v>
      </c>
      <c r="E115" s="7" t="str">
        <f>"Character_Data!R"&amp;(C115+1)&amp;":R"&amp;D115+1</f>
        <v>Character_Data!R2:R5</v>
      </c>
      <c r="F115" t="str">
        <f>IF(COUNTIF($A$1:$A115,$A115)&gt;1,"",MAX($F$1:$F114)+1)</f>
        <v/>
      </c>
      <c r="H115" t="str">
        <f t="shared" si="7"/>
        <v>Troll (River)FIN</v>
      </c>
      <c r="I115" t="s">
        <v>1225</v>
      </c>
    </row>
    <row r="116" spans="1:23" ht="15.75" x14ac:dyDescent="0.25">
      <c r="A116" s="44" t="s">
        <v>34</v>
      </c>
      <c r="B116" s="45" t="s">
        <v>5</v>
      </c>
      <c r="C116" s="7">
        <v>1</v>
      </c>
      <c r="D116" s="7">
        <v>3</v>
      </c>
      <c r="E116" s="7" t="str">
        <f>"Character_Data!S"&amp;(C116+1)&amp;":S"&amp;D116+1</f>
        <v>Character_Data!S2:S4</v>
      </c>
      <c r="F116" t="str">
        <f>IF(COUNTIF($A$1:$A116,$A116)&gt;1,"",MAX($F$1:$F115)+1)</f>
        <v/>
      </c>
      <c r="H116" t="str">
        <f t="shared" si="7"/>
        <v>Troll (River)CRM</v>
      </c>
      <c r="I116" t="s">
        <v>1225</v>
      </c>
    </row>
    <row r="117" spans="1:23" ht="15.75" x14ac:dyDescent="0.25">
      <c r="A117" s="44" t="s">
        <v>34</v>
      </c>
      <c r="B117" s="45" t="s">
        <v>6</v>
      </c>
      <c r="C117" s="7">
        <v>2</v>
      </c>
      <c r="D117" s="7">
        <v>6</v>
      </c>
      <c r="E117" s="7" t="str">
        <f>"Character_Data!T"&amp;(C117+1)&amp;":T"&amp;D117+1</f>
        <v>Character_Data!T3:T7</v>
      </c>
      <c r="F117" t="str">
        <f>IF(COUNTIF($A$1:$A117,$A117)&gt;1,"",MAX($F$1:$F116)+1)</f>
        <v/>
      </c>
      <c r="H117" t="str">
        <f t="shared" si="7"/>
        <v>Troll (River)LOR</v>
      </c>
      <c r="I117" t="s">
        <v>1225</v>
      </c>
    </row>
    <row r="118" spans="1:23" ht="15.75" x14ac:dyDescent="0.25">
      <c r="A118" s="44" t="s">
        <v>35</v>
      </c>
      <c r="B118" s="45" t="s">
        <v>3</v>
      </c>
      <c r="C118" s="7">
        <v>2</v>
      </c>
      <c r="D118" s="7">
        <v>7</v>
      </c>
      <c r="E118" s="7" t="str">
        <f>"Character_Data!Q"&amp;(C118+1)&amp;":Q"&amp;D118+1</f>
        <v>Character_Data!Q3:Q8</v>
      </c>
      <c r="F118">
        <f>IF(COUNTIF($A$1:$A118,$A118)&gt;1,"",MAX($F$1:$F117)+1)</f>
        <v>30</v>
      </c>
      <c r="H118" t="str">
        <f t="shared" si="7"/>
        <v>Troll (Valley)STR</v>
      </c>
      <c r="I118" t="s">
        <v>1225</v>
      </c>
    </row>
    <row r="119" spans="1:23" ht="15.75" x14ac:dyDescent="0.25">
      <c r="A119" s="44" t="s">
        <v>35</v>
      </c>
      <c r="B119" s="45" t="s">
        <v>4</v>
      </c>
      <c r="C119" s="7">
        <v>1</v>
      </c>
      <c r="D119" s="7">
        <v>4</v>
      </c>
      <c r="E119" s="7" t="str">
        <f>"Character_Data!R"&amp;(C119+1)&amp;":R"&amp;D119+1</f>
        <v>Character_Data!R2:R5</v>
      </c>
      <c r="F119" t="str">
        <f>IF(COUNTIF($A$1:$A119,$A119)&gt;1,"",MAX($F$1:$F118)+1)</f>
        <v/>
      </c>
      <c r="H119" t="str">
        <f t="shared" si="7"/>
        <v>Troll (Valley)FIN</v>
      </c>
      <c r="I119" t="s">
        <v>1225</v>
      </c>
    </row>
    <row r="120" spans="1:23" ht="15.75" x14ac:dyDescent="0.25">
      <c r="A120" s="1" t="s">
        <v>35</v>
      </c>
      <c r="B120" s="7" t="s">
        <v>5</v>
      </c>
      <c r="C120" s="7">
        <v>1</v>
      </c>
      <c r="D120" s="7">
        <v>3</v>
      </c>
      <c r="E120" s="7" t="str">
        <f>"Character_Data!S"&amp;(C120+1)&amp;":S"&amp;D120+1</f>
        <v>Character_Data!S2:S4</v>
      </c>
      <c r="F120" t="str">
        <f>IF(COUNTIF($A$1:$A120,$A120)&gt;1,"",MAX($F$1:$F119)+1)</f>
        <v/>
      </c>
      <c r="H120" t="str">
        <f t="shared" si="7"/>
        <v>Troll (Valley)CRM</v>
      </c>
      <c r="I120" t="s">
        <v>1225</v>
      </c>
    </row>
    <row r="121" spans="1:23" ht="15.75" x14ac:dyDescent="0.25">
      <c r="A121" s="1" t="s">
        <v>35</v>
      </c>
      <c r="B121" s="7" t="s">
        <v>6</v>
      </c>
      <c r="C121" s="7">
        <v>2</v>
      </c>
      <c r="D121" s="7">
        <v>5</v>
      </c>
      <c r="E121" s="7" t="str">
        <f>"Character_Data!T"&amp;(C121+1)&amp;":T"&amp;D121+1</f>
        <v>Character_Data!T3:T6</v>
      </c>
      <c r="F121" t="str">
        <f>IF(COUNTIF($A$1:$A121,$A121)&gt;1,"",MAX($F$1:$F120)+1)</f>
        <v/>
      </c>
      <c r="H121" t="str">
        <f t="shared" si="7"/>
        <v>Troll (Valley)LOR</v>
      </c>
      <c r="I121" t="s">
        <v>1225</v>
      </c>
    </row>
    <row r="122" spans="1:23" ht="15.75" x14ac:dyDescent="0.25">
      <c r="A122" s="1" t="s">
        <v>20</v>
      </c>
      <c r="B122" s="7" t="s">
        <v>3</v>
      </c>
      <c r="C122" s="7">
        <v>2</v>
      </c>
      <c r="D122" s="7">
        <v>5</v>
      </c>
      <c r="E122" s="7" t="str">
        <f>"Character_Data!Q"&amp;(C122+1)&amp;":Q"&amp;D122+1</f>
        <v>Character_Data!Q3:Q6</v>
      </c>
      <c r="F122">
        <f>IF(COUNTIF($A$1:$A122,$A122)&gt;1,"",MAX($F$1:$F121)+1)</f>
        <v>31</v>
      </c>
      <c r="H122" t="str">
        <f t="shared" si="7"/>
        <v>Wild Man (Carnal)STR</v>
      </c>
      <c r="I122" t="s">
        <v>1222</v>
      </c>
    </row>
    <row r="123" spans="1:23" ht="15.75" x14ac:dyDescent="0.25">
      <c r="A123" s="1" t="s">
        <v>20</v>
      </c>
      <c r="B123" s="7" t="s">
        <v>4</v>
      </c>
      <c r="C123" s="7">
        <v>2</v>
      </c>
      <c r="D123" s="7">
        <v>4</v>
      </c>
      <c r="E123" s="7" t="str">
        <f>"Character_Data!R"&amp;(C123+1)&amp;":R"&amp;D123+1</f>
        <v>Character_Data!R3:R5</v>
      </c>
      <c r="F123" t="str">
        <f>IF(COUNTIF($A$1:$A123,$A123)&gt;1,"",MAX($F$1:$F122)+1)</f>
        <v/>
      </c>
      <c r="H123" t="str">
        <f t="shared" si="7"/>
        <v>Wild Man (Carnal)FIN</v>
      </c>
      <c r="I123" t="s">
        <v>1222</v>
      </c>
    </row>
    <row r="124" spans="1:23" ht="15.75" x14ac:dyDescent="0.25">
      <c r="A124" s="1" t="s">
        <v>20</v>
      </c>
      <c r="B124" s="7" t="s">
        <v>5</v>
      </c>
      <c r="C124" s="7">
        <v>1</v>
      </c>
      <c r="D124" s="7">
        <v>5</v>
      </c>
      <c r="E124" s="7" t="str">
        <f>"Character_Data!S"&amp;(C124+1)&amp;":S"&amp;D124+1</f>
        <v>Character_Data!S2:S6</v>
      </c>
      <c r="F124" t="str">
        <f>IF(COUNTIF($A$1:$A124,$A124)&gt;1,"",MAX($F$1:$F123)+1)</f>
        <v/>
      </c>
      <c r="H124" t="str">
        <f t="shared" si="7"/>
        <v>Wild Man (Carnal)CRM</v>
      </c>
      <c r="I124" t="s">
        <v>1222</v>
      </c>
    </row>
    <row r="125" spans="1:23" ht="15.75" x14ac:dyDescent="0.25">
      <c r="A125" s="1" t="s">
        <v>20</v>
      </c>
      <c r="B125" s="7" t="s">
        <v>6</v>
      </c>
      <c r="C125" s="7">
        <v>1</v>
      </c>
      <c r="D125" s="7">
        <v>5</v>
      </c>
      <c r="E125" s="7" t="str">
        <f>"Character_Data!T"&amp;(C125+1)&amp;":T"&amp;D125+1</f>
        <v>Character_Data!T2:T6</v>
      </c>
      <c r="F125" t="str">
        <f>IF(COUNTIF($A$1:$A125,$A125)&gt;1,"",MAX($F$1:$F124)+1)</f>
        <v/>
      </c>
      <c r="H125" t="str">
        <f t="shared" si="7"/>
        <v>Wild Man (Carnal)LOR</v>
      </c>
      <c r="I125" t="s">
        <v>1222</v>
      </c>
    </row>
    <row r="126" spans="1:23" ht="15.75" x14ac:dyDescent="0.25">
      <c r="A126" s="1" t="s">
        <v>21</v>
      </c>
      <c r="B126" s="7" t="s">
        <v>3</v>
      </c>
      <c r="C126" s="7">
        <v>2</v>
      </c>
      <c r="D126" s="7">
        <v>6</v>
      </c>
      <c r="E126" s="7" t="str">
        <f>"Character_Data!Q"&amp;(C126+1)&amp;":Q"&amp;D126+1</f>
        <v>Character_Data!Q3:Q7</v>
      </c>
      <c r="F126">
        <f>IF(COUNTIF($A$1:$A126,$A126)&gt;1,"",MAX($F$1:$F125)+1)</f>
        <v>32</v>
      </c>
      <c r="H126" t="str">
        <f t="shared" si="7"/>
        <v>Wild Man (Rager)STR</v>
      </c>
      <c r="I126" t="s">
        <v>1222</v>
      </c>
    </row>
    <row r="127" spans="1:23" ht="15.75" x14ac:dyDescent="0.25">
      <c r="A127" s="1" t="s">
        <v>21</v>
      </c>
      <c r="B127" s="7" t="s">
        <v>4</v>
      </c>
      <c r="C127" s="7">
        <v>2</v>
      </c>
      <c r="D127" s="7">
        <v>5</v>
      </c>
      <c r="E127" s="7" t="str">
        <f>"Character_Data!R"&amp;(C127+1)&amp;":R"&amp;D127+1</f>
        <v>Character_Data!R3:R6</v>
      </c>
      <c r="F127" t="str">
        <f>IF(COUNTIF($A$1:$A127,$A127)&gt;1,"",MAX($F$1:$F126)+1)</f>
        <v/>
      </c>
      <c r="H127" t="str">
        <f t="shared" si="7"/>
        <v>Wild Man (Rager)FIN</v>
      </c>
      <c r="I127" t="s">
        <v>1222</v>
      </c>
    </row>
    <row r="128" spans="1:23" ht="15.75" x14ac:dyDescent="0.25">
      <c r="A128" s="1" t="s">
        <v>21</v>
      </c>
      <c r="B128" s="7" t="s">
        <v>5</v>
      </c>
      <c r="C128" s="7">
        <v>1</v>
      </c>
      <c r="D128" s="7">
        <v>4</v>
      </c>
      <c r="E128" s="7" t="str">
        <f>"Character_Data!S"&amp;(C128+1)&amp;":S"&amp;D128+1</f>
        <v>Character_Data!S2:S5</v>
      </c>
      <c r="F128" t="str">
        <f>IF(COUNTIF($A$1:$A128,$A128)&gt;1,"",MAX($F$1:$F127)+1)</f>
        <v/>
      </c>
      <c r="H128" t="str">
        <f t="shared" si="7"/>
        <v>Wild Man (Rager)CRM</v>
      </c>
      <c r="I128" t="s">
        <v>1222</v>
      </c>
      <c r="V128" s="46"/>
      <c r="W128" s="46"/>
    </row>
    <row r="129" spans="1:23" ht="15.75" x14ac:dyDescent="0.25">
      <c r="A129" s="1" t="s">
        <v>21</v>
      </c>
      <c r="B129" s="7" t="s">
        <v>6</v>
      </c>
      <c r="C129" s="7">
        <v>1</v>
      </c>
      <c r="D129" s="7">
        <v>4</v>
      </c>
      <c r="E129" s="7" t="str">
        <f>"Character_Data!T"&amp;(C129+1)&amp;":T"&amp;D129+1</f>
        <v>Character_Data!T2:T5</v>
      </c>
      <c r="F129" t="str">
        <f>IF(COUNTIF($A$1:$A129,$A129)&gt;1,"",MAX($F$1:$F128)+1)</f>
        <v/>
      </c>
      <c r="H129" t="str">
        <f t="shared" si="7"/>
        <v>Wild Man (Rager)LOR</v>
      </c>
      <c r="I129" t="s">
        <v>1222</v>
      </c>
      <c r="V129" s="46"/>
      <c r="W129" s="46"/>
    </row>
    <row r="130" spans="1:23" ht="15.75" x14ac:dyDescent="0.25">
      <c r="A130" s="1" t="s">
        <v>30</v>
      </c>
      <c r="B130" s="7" t="s">
        <v>3</v>
      </c>
      <c r="C130" s="7">
        <v>2</v>
      </c>
      <c r="D130" s="7">
        <v>5</v>
      </c>
      <c r="E130" s="7" t="str">
        <f>"Character_Data!Q"&amp;(C130+1)&amp;":Q"&amp;D130+1</f>
        <v>Character_Data!Q3:Q6</v>
      </c>
      <c r="F130">
        <f>IF(COUNTIF($A$1:$A130,$A130)&gt;1,"",MAX($F$1:$F129)+1)</f>
        <v>33</v>
      </c>
      <c r="H130" t="str">
        <f t="shared" si="7"/>
        <v>Wulvern (Scout)STR</v>
      </c>
      <c r="I130" t="s">
        <v>1219</v>
      </c>
      <c r="V130" s="46"/>
      <c r="W130" s="46"/>
    </row>
    <row r="131" spans="1:23" ht="15.75" x14ac:dyDescent="0.25">
      <c r="A131" s="1" t="s">
        <v>30</v>
      </c>
      <c r="B131" s="7" t="s">
        <v>4</v>
      </c>
      <c r="C131" s="7">
        <v>2</v>
      </c>
      <c r="D131" s="7">
        <v>6</v>
      </c>
      <c r="E131" s="7" t="str">
        <f>"Character_Data!R"&amp;(C131+1)&amp;":R"&amp;D131+1</f>
        <v>Character_Data!R3:R7</v>
      </c>
      <c r="F131" t="str">
        <f>IF(COUNTIF($A$1:$A131,$A131)&gt;1,"",MAX($F$1:$F130)+1)</f>
        <v/>
      </c>
      <c r="H131" t="str">
        <f t="shared" ref="H131:H137" si="8">A131&amp;B131</f>
        <v>Wulvern (Scout)FIN</v>
      </c>
      <c r="I131" t="s">
        <v>1219</v>
      </c>
      <c r="V131" s="46"/>
      <c r="W131" s="46"/>
    </row>
    <row r="132" spans="1:23" ht="15.75" x14ac:dyDescent="0.25">
      <c r="A132" s="1" t="s">
        <v>30</v>
      </c>
      <c r="B132" s="7" t="s">
        <v>5</v>
      </c>
      <c r="C132" s="7">
        <v>1</v>
      </c>
      <c r="D132" s="7">
        <v>3</v>
      </c>
      <c r="E132" s="7" t="str">
        <f>"Character_Data!S"&amp;(C132+1)&amp;":S"&amp;D132+1</f>
        <v>Character_Data!S2:S4</v>
      </c>
      <c r="F132" t="str">
        <f>IF(COUNTIF($A$1:$A132,$A132)&gt;1,"",MAX($F$1:$F131)+1)</f>
        <v/>
      </c>
      <c r="H132" t="str">
        <f t="shared" si="8"/>
        <v>Wulvern (Scout)CRM</v>
      </c>
      <c r="I132" t="s">
        <v>1219</v>
      </c>
      <c r="V132" s="46"/>
      <c r="W132" s="46"/>
    </row>
    <row r="133" spans="1:23" ht="15.75" x14ac:dyDescent="0.25">
      <c r="A133" s="1" t="s">
        <v>30</v>
      </c>
      <c r="B133" s="7" t="s">
        <v>6</v>
      </c>
      <c r="C133" s="7">
        <v>1</v>
      </c>
      <c r="D133" s="7">
        <v>4</v>
      </c>
      <c r="E133" s="7" t="str">
        <f>"Character_Data!T"&amp;(C133+1)&amp;":T"&amp;D133+1</f>
        <v>Character_Data!T2:T5</v>
      </c>
      <c r="F133" t="str">
        <f>IF(COUNTIF($A$1:$A133,$A133)&gt;1,"",MAX($F$1:$F132)+1)</f>
        <v/>
      </c>
      <c r="H133" t="str">
        <f t="shared" si="8"/>
        <v>Wulvern (Scout)LOR</v>
      </c>
      <c r="I133" t="s">
        <v>1219</v>
      </c>
      <c r="V133" s="46"/>
      <c r="W133" s="46"/>
    </row>
    <row r="134" spans="1:23" ht="15.75" x14ac:dyDescent="0.25">
      <c r="A134" s="1" t="s">
        <v>31</v>
      </c>
      <c r="B134" s="7" t="s">
        <v>3</v>
      </c>
      <c r="C134" s="7">
        <v>2</v>
      </c>
      <c r="D134" s="7">
        <v>5</v>
      </c>
      <c r="E134" s="7" t="str">
        <f>"Character_Data!Q"&amp;(C134+1)&amp;":Q"&amp;D134+1</f>
        <v>Character_Data!Q3:Q6</v>
      </c>
      <c r="F134">
        <f>IF(COUNTIF($A$1:$A134,$A134)&gt;1,"",MAX($F$1:$F133)+1)</f>
        <v>34</v>
      </c>
      <c r="H134" t="str">
        <f t="shared" si="8"/>
        <v>Wulvern (Shaman)STR</v>
      </c>
      <c r="I134" t="s">
        <v>1219</v>
      </c>
      <c r="V134" s="46"/>
      <c r="W134" s="46"/>
    </row>
    <row r="135" spans="1:23" ht="15.75" x14ac:dyDescent="0.25">
      <c r="A135" s="1" t="s">
        <v>31</v>
      </c>
      <c r="B135" s="7" t="s">
        <v>4</v>
      </c>
      <c r="C135" s="7">
        <v>2</v>
      </c>
      <c r="D135" s="7">
        <v>5</v>
      </c>
      <c r="E135" s="7" t="str">
        <f>"Character_Data!R"&amp;(C135+1)&amp;":R"&amp;D135+1</f>
        <v>Character_Data!R3:R6</v>
      </c>
      <c r="F135" t="str">
        <f>IF(COUNTIF($A$1:$A135,$A135)&gt;1,"",MAX($F$1:$F134)+1)</f>
        <v/>
      </c>
      <c r="H135" t="str">
        <f t="shared" si="8"/>
        <v>Wulvern (Shaman)FIN</v>
      </c>
      <c r="I135" t="s">
        <v>1219</v>
      </c>
      <c r="V135" s="46"/>
      <c r="W135" s="46"/>
    </row>
    <row r="136" spans="1:23" ht="15.75" x14ac:dyDescent="0.25">
      <c r="A136" s="1" t="s">
        <v>31</v>
      </c>
      <c r="B136" s="7" t="s">
        <v>5</v>
      </c>
      <c r="C136" s="7">
        <v>1</v>
      </c>
      <c r="D136" s="7">
        <v>3</v>
      </c>
      <c r="E136" s="7" t="str">
        <f>"Character_Data!S"&amp;(C136+1)&amp;":S"&amp;D136+1</f>
        <v>Character_Data!S2:S4</v>
      </c>
      <c r="F136" t="str">
        <f>IF(COUNTIF($A$1:$A136,$A136)&gt;1,"",MAX($F$1:$F135)+1)</f>
        <v/>
      </c>
      <c r="H136" t="str">
        <f t="shared" si="8"/>
        <v>Wulvern (Shaman)CRM</v>
      </c>
      <c r="I136" t="s">
        <v>1219</v>
      </c>
      <c r="V136" s="46"/>
      <c r="W136" s="46"/>
    </row>
    <row r="137" spans="1:23" ht="15.75" x14ac:dyDescent="0.25">
      <c r="A137" s="1" t="s">
        <v>31</v>
      </c>
      <c r="B137" s="7" t="s">
        <v>6</v>
      </c>
      <c r="C137" s="7">
        <v>1</v>
      </c>
      <c r="D137" s="7">
        <v>5</v>
      </c>
      <c r="E137" s="7" t="str">
        <f>"Character_Data!T"&amp;(C137+1)&amp;":T"&amp;D137+1</f>
        <v>Character_Data!T2:T6</v>
      </c>
      <c r="F137" t="str">
        <f>IF(COUNTIF($A$1:$A137,$A137)&gt;1,"",MAX($F$1:$F136)+1)</f>
        <v/>
      </c>
      <c r="H137" t="str">
        <f t="shared" si="8"/>
        <v>Wulvern (Shaman)LOR</v>
      </c>
      <c r="I137" t="s">
        <v>1219</v>
      </c>
      <c r="V137" s="46"/>
      <c r="W137" s="46"/>
    </row>
    <row r="138" spans="1:23" ht="15.75" x14ac:dyDescent="0.25">
      <c r="E138" s="7"/>
      <c r="I138" s="43"/>
      <c r="V138" s="46"/>
      <c r="W138" s="46"/>
    </row>
    <row r="139" spans="1:23" ht="15.75" x14ac:dyDescent="0.25">
      <c r="E139" s="7"/>
      <c r="V139" s="46"/>
      <c r="W139" s="46"/>
    </row>
    <row r="140" spans="1:23" ht="15.75" x14ac:dyDescent="0.25">
      <c r="E140" s="7"/>
      <c r="V140" s="46"/>
      <c r="W140" s="46"/>
    </row>
    <row r="141" spans="1:23" ht="15.75" x14ac:dyDescent="0.25">
      <c r="E141" s="7"/>
      <c r="V141" s="46"/>
      <c r="W141" s="46"/>
    </row>
    <row r="142" spans="1:23" ht="15.75" x14ac:dyDescent="0.25">
      <c r="E142" s="7"/>
      <c r="I142" s="43"/>
    </row>
    <row r="143" spans="1:23" ht="15.75" x14ac:dyDescent="0.25">
      <c r="E143" s="7"/>
    </row>
    <row r="144" spans="1:23" ht="15.75" x14ac:dyDescent="0.25">
      <c r="E144" s="7"/>
    </row>
    <row r="145" spans="1:23" s="46" customFormat="1" ht="15.75" x14ac:dyDescent="0.25">
      <c r="A145"/>
      <c r="B145"/>
      <c r="C145"/>
      <c r="D145"/>
      <c r="E145" s="7"/>
      <c r="R145"/>
      <c r="S145"/>
      <c r="V145"/>
      <c r="W145"/>
    </row>
    <row r="146" spans="1:23" s="46" customFormat="1" x14ac:dyDescent="0.25">
      <c r="A146"/>
      <c r="B146"/>
      <c r="C146"/>
      <c r="D146"/>
      <c r="E146"/>
      <c r="R146"/>
      <c r="S146"/>
      <c r="V146"/>
      <c r="W146"/>
    </row>
    <row r="147" spans="1:23" s="46" customFormat="1" x14ac:dyDescent="0.25">
      <c r="A147"/>
      <c r="B147"/>
      <c r="C147"/>
      <c r="D147"/>
      <c r="E147"/>
      <c r="R147"/>
      <c r="S147"/>
      <c r="V147"/>
      <c r="W147"/>
    </row>
    <row r="148" spans="1:23" s="46" customFormat="1" x14ac:dyDescent="0.25">
      <c r="A148"/>
      <c r="B148"/>
      <c r="C148"/>
      <c r="D148"/>
      <c r="E148"/>
      <c r="R148"/>
      <c r="S148"/>
      <c r="V148"/>
      <c r="W148"/>
    </row>
    <row r="149" spans="1:23" s="46" customFormat="1" x14ac:dyDescent="0.25">
      <c r="A149"/>
      <c r="B149"/>
      <c r="C149"/>
      <c r="D149"/>
      <c r="E149"/>
      <c r="R149"/>
      <c r="S149"/>
      <c r="V149"/>
      <c r="W149"/>
    </row>
    <row r="150" spans="1:23" s="46" customFormat="1" x14ac:dyDescent="0.25">
      <c r="A150"/>
      <c r="B150"/>
      <c r="C150"/>
      <c r="D150"/>
      <c r="E150"/>
      <c r="R150"/>
      <c r="S150"/>
      <c r="V150"/>
      <c r="W150"/>
    </row>
    <row r="151" spans="1:23" s="46" customFormat="1" x14ac:dyDescent="0.25">
      <c r="A151"/>
      <c r="B151"/>
      <c r="C151"/>
      <c r="D151"/>
      <c r="E151"/>
      <c r="R151"/>
      <c r="S151"/>
      <c r="V151"/>
      <c r="W151"/>
    </row>
    <row r="152" spans="1:23" s="46" customFormat="1" x14ac:dyDescent="0.25">
      <c r="A152"/>
      <c r="B152"/>
      <c r="C152"/>
      <c r="D152"/>
      <c r="E152"/>
      <c r="R152"/>
      <c r="S152"/>
      <c r="V152"/>
      <c r="W152"/>
    </row>
    <row r="153" spans="1:23" s="46" customFormat="1" x14ac:dyDescent="0.25">
      <c r="A153"/>
      <c r="B153"/>
      <c r="C153"/>
      <c r="D153"/>
      <c r="E153"/>
      <c r="R153"/>
      <c r="S153"/>
      <c r="V153"/>
      <c r="W153"/>
    </row>
    <row r="154" spans="1:23" s="46" customFormat="1" x14ac:dyDescent="0.25">
      <c r="A154"/>
      <c r="B154"/>
      <c r="C154"/>
      <c r="D154"/>
      <c r="E154"/>
      <c r="R154"/>
      <c r="S154"/>
      <c r="V154"/>
      <c r="W154"/>
    </row>
    <row r="155" spans="1:23" s="46" customFormat="1" x14ac:dyDescent="0.25">
      <c r="A155"/>
      <c r="B155"/>
      <c r="C155"/>
      <c r="D155"/>
      <c r="E155"/>
      <c r="R155"/>
      <c r="S155"/>
      <c r="V155"/>
      <c r="W155"/>
    </row>
    <row r="156" spans="1:23" s="46" customFormat="1" x14ac:dyDescent="0.25">
      <c r="A156"/>
      <c r="B156"/>
      <c r="C156"/>
      <c r="D156"/>
      <c r="E156"/>
      <c r="R156"/>
      <c r="S156"/>
      <c r="V156"/>
      <c r="W156"/>
    </row>
    <row r="157" spans="1:23" s="46" customFormat="1" x14ac:dyDescent="0.25">
      <c r="A157"/>
      <c r="B157"/>
      <c r="C157"/>
      <c r="D157"/>
      <c r="E157"/>
      <c r="R157"/>
      <c r="S157"/>
      <c r="V157"/>
      <c r="W157"/>
    </row>
    <row r="158" spans="1:23" s="46" customFormat="1" x14ac:dyDescent="0.25">
      <c r="A158"/>
      <c r="B158"/>
      <c r="C158"/>
      <c r="D158"/>
      <c r="E158"/>
      <c r="I158" s="47"/>
      <c r="R158"/>
      <c r="S158"/>
      <c r="V158"/>
      <c r="W158"/>
    </row>
    <row r="159" spans="1:23" x14ac:dyDescent="0.25">
      <c r="F159" s="40"/>
      <c r="G159" s="40"/>
      <c r="H159" s="40"/>
      <c r="I159" s="46"/>
    </row>
    <row r="160" spans="1:23" x14ac:dyDescent="0.25">
      <c r="F160" s="40"/>
      <c r="G160" s="40"/>
      <c r="H160" s="40"/>
      <c r="I160" s="46"/>
    </row>
    <row r="161" spans="6:9" x14ac:dyDescent="0.25">
      <c r="F161" s="40"/>
      <c r="G161" s="40"/>
      <c r="H161" s="40"/>
      <c r="I161" s="46"/>
    </row>
    <row r="162" spans="6:9" x14ac:dyDescent="0.25">
      <c r="F162" s="40"/>
      <c r="G162" s="40"/>
      <c r="H162" s="40"/>
      <c r="I162" s="47"/>
    </row>
    <row r="163" spans="6:9" x14ac:dyDescent="0.25">
      <c r="F163" s="40"/>
      <c r="G163" s="40"/>
      <c r="H163" s="40"/>
      <c r="I163" s="46"/>
    </row>
    <row r="164" spans="6:9" x14ac:dyDescent="0.25">
      <c r="F164" s="40"/>
      <c r="G164" s="40"/>
      <c r="H164" s="40"/>
      <c r="I164" s="46"/>
    </row>
    <row r="165" spans="6:9" x14ac:dyDescent="0.25">
      <c r="F165" s="40"/>
      <c r="G165" s="40"/>
      <c r="H165" s="40"/>
      <c r="I165" s="46"/>
    </row>
    <row r="166" spans="6:9" x14ac:dyDescent="0.25">
      <c r="F166" s="40"/>
      <c r="G166" s="40"/>
      <c r="H166" s="40"/>
      <c r="I166" s="47"/>
    </row>
    <row r="167" spans="6:9" x14ac:dyDescent="0.25">
      <c r="F167" s="40"/>
      <c r="G167" s="40"/>
      <c r="H167" s="40"/>
      <c r="I167" s="46"/>
    </row>
    <row r="168" spans="6:9" x14ac:dyDescent="0.25">
      <c r="F168" s="40"/>
      <c r="G168" s="40"/>
      <c r="H168" s="40"/>
      <c r="I168" s="46"/>
    </row>
    <row r="169" spans="6:9" x14ac:dyDescent="0.25">
      <c r="F169" s="40"/>
      <c r="G169" s="40"/>
      <c r="H169" s="40"/>
      <c r="I169" s="46"/>
    </row>
    <row r="170" spans="6:9" x14ac:dyDescent="0.25">
      <c r="F170" s="40"/>
      <c r="G170" s="40"/>
      <c r="H170" s="40"/>
      <c r="I170" s="46"/>
    </row>
    <row r="171" spans="6:9" x14ac:dyDescent="0.25">
      <c r="F171" s="40"/>
      <c r="G171" s="40"/>
      <c r="H171" s="40"/>
      <c r="I171" s="46"/>
    </row>
    <row r="172" spans="6:9" x14ac:dyDescent="0.25">
      <c r="F172" s="40"/>
      <c r="G172" s="40"/>
      <c r="H172" s="40"/>
      <c r="I172" s="46"/>
    </row>
    <row r="173" spans="6:9" x14ac:dyDescent="0.25">
      <c r="F173" s="40"/>
      <c r="G173" s="40"/>
      <c r="H173" s="40"/>
      <c r="I173" s="46"/>
    </row>
    <row r="174" spans="6:9" x14ac:dyDescent="0.25">
      <c r="F174" s="40"/>
      <c r="G174" s="40"/>
      <c r="H174" s="40"/>
      <c r="I174" s="47"/>
    </row>
    <row r="175" spans="6:9" x14ac:dyDescent="0.25">
      <c r="F175" s="40"/>
      <c r="G175" s="40"/>
      <c r="H175" s="40"/>
      <c r="I175" s="46"/>
    </row>
    <row r="176" spans="6:9" x14ac:dyDescent="0.25">
      <c r="F176" s="40"/>
      <c r="G176" s="40"/>
      <c r="H176" s="40"/>
      <c r="I176" s="46"/>
    </row>
    <row r="177" spans="4:9" x14ac:dyDescent="0.25">
      <c r="F177" s="40"/>
      <c r="G177" s="40"/>
      <c r="H177" s="40"/>
      <c r="I177" s="46"/>
    </row>
    <row r="178" spans="4:9" x14ac:dyDescent="0.25">
      <c r="F178" s="40"/>
      <c r="G178" s="40"/>
      <c r="H178" s="40"/>
      <c r="I178" s="46"/>
    </row>
    <row r="179" spans="4:9" x14ac:dyDescent="0.25">
      <c r="F179" s="40"/>
      <c r="G179" s="40"/>
      <c r="H179" s="40"/>
      <c r="I179" s="46"/>
    </row>
    <row r="180" spans="4:9" x14ac:dyDescent="0.25">
      <c r="F180" s="40"/>
      <c r="G180" s="40"/>
      <c r="H180" s="40"/>
      <c r="I180" s="46"/>
    </row>
    <row r="181" spans="4:9" x14ac:dyDescent="0.25">
      <c r="F181" s="40"/>
      <c r="G181" s="40"/>
      <c r="H181" s="40"/>
      <c r="I181" s="46"/>
    </row>
    <row r="182" spans="4:9" x14ac:dyDescent="0.25">
      <c r="F182" s="40"/>
      <c r="G182" s="40"/>
      <c r="H182" s="40"/>
      <c r="I182" s="47"/>
    </row>
    <row r="183" spans="4:9" x14ac:dyDescent="0.25">
      <c r="F183" s="40"/>
      <c r="G183" s="40"/>
      <c r="H183" s="40"/>
      <c r="I183" s="40"/>
    </row>
    <row r="184" spans="4:9" x14ac:dyDescent="0.25">
      <c r="F184" s="40"/>
      <c r="G184" s="40"/>
      <c r="H184" s="40"/>
      <c r="I184" s="40"/>
    </row>
    <row r="185" spans="4:9" x14ac:dyDescent="0.25">
      <c r="F185" s="40"/>
      <c r="G185" s="40"/>
      <c r="H185" s="40"/>
      <c r="I185" s="40"/>
    </row>
    <row r="186" spans="4:9" x14ac:dyDescent="0.25">
      <c r="F186" s="40"/>
      <c r="G186" s="40"/>
      <c r="H186" s="40"/>
      <c r="I186" s="41"/>
    </row>
    <row r="187" spans="4:9" x14ac:dyDescent="0.25">
      <c r="F187" s="40"/>
      <c r="G187" s="40"/>
      <c r="H187" s="40"/>
      <c r="I187" s="40"/>
    </row>
    <row r="188" spans="4:9" x14ac:dyDescent="0.25">
      <c r="F188" s="40"/>
      <c r="G188" s="40"/>
      <c r="H188" s="40"/>
      <c r="I188" s="40"/>
    </row>
    <row r="189" spans="4:9" x14ac:dyDescent="0.25">
      <c r="F189" s="40"/>
      <c r="G189" s="40"/>
      <c r="H189" s="40"/>
      <c r="I189" s="40"/>
    </row>
    <row r="191" spans="4:9" ht="15.75" x14ac:dyDescent="0.25">
      <c r="D191" s="7"/>
    </row>
  </sheetData>
  <sheetProtection algorithmName="SHA-512" hashValue="4K5Yj0Hu2ZwWkzh4OTWwhM+n+IHvxZ4VtDdX3rqvoSZNheIdWFwCpytsVSSfboqHgcKN+mW5iw795SyyqSaAcA==" saltValue="QHP9l456BeeyrSQAYn9EJA==" spinCount="100000" sheet="1" objects="1" scenarios="1"/>
  <autoFilter ref="B1:B191"/>
  <sortState ref="A2:D96">
    <sortCondition ref="A2"/>
  </sortState>
  <dataValidations count="1">
    <dataValidation type="list" allowBlank="1" showInputMessage="1" showErrorMessage="1" sqref="K7:K18">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168"/>
  <sheetViews>
    <sheetView zoomScale="70" zoomScaleNormal="70" workbookViewId="0"/>
  </sheetViews>
  <sheetFormatPr defaultRowHeight="15" x14ac:dyDescent="0.25"/>
  <cols>
    <col min="1" max="1" width="23.42578125" bestFit="1" customWidth="1"/>
    <col min="2" max="2" width="6.42578125" bestFit="1" customWidth="1"/>
    <col min="3" max="3" width="7.7109375" customWidth="1"/>
    <col min="4" max="4" width="4.7109375" customWidth="1"/>
  </cols>
  <sheetData>
    <row r="1" spans="1:4" ht="15.75" x14ac:dyDescent="0.25">
      <c r="A1" s="6" t="s">
        <v>867</v>
      </c>
      <c r="B1" t="s">
        <v>11</v>
      </c>
      <c r="C1" s="7" t="s">
        <v>245</v>
      </c>
    </row>
    <row r="2" spans="1:4" s="90" customFormat="1" ht="15.75" x14ac:dyDescent="0.25">
      <c r="A2" t="s">
        <v>566</v>
      </c>
      <c r="B2" s="7" t="s">
        <v>3</v>
      </c>
      <c r="C2">
        <v>6</v>
      </c>
    </row>
    <row r="3" spans="1:4" s="90" customFormat="1" ht="15.75" x14ac:dyDescent="0.25">
      <c r="A3" t="s">
        <v>566</v>
      </c>
      <c r="B3" s="7" t="s">
        <v>4</v>
      </c>
      <c r="C3">
        <v>15</v>
      </c>
      <c r="D3" s="7"/>
    </row>
    <row r="4" spans="1:4" s="90" customFormat="1" ht="15.75" x14ac:dyDescent="0.25">
      <c r="A4" t="s">
        <v>566</v>
      </c>
      <c r="B4" s="7" t="s">
        <v>5</v>
      </c>
      <c r="C4">
        <v>9</v>
      </c>
      <c r="D4" s="7"/>
    </row>
    <row r="5" spans="1:4" s="90" customFormat="1" ht="15.75" x14ac:dyDescent="0.25">
      <c r="A5" t="s">
        <v>566</v>
      </c>
      <c r="B5" s="7" t="s">
        <v>6</v>
      </c>
      <c r="C5">
        <v>9</v>
      </c>
      <c r="D5" s="7"/>
    </row>
    <row r="6" spans="1:4" s="90" customFormat="1" ht="15.75" x14ac:dyDescent="0.25">
      <c r="A6" s="81" t="s">
        <v>93</v>
      </c>
      <c r="B6" s="7" t="s">
        <v>3</v>
      </c>
      <c r="C6" s="46">
        <v>12</v>
      </c>
      <c r="D6" s="7"/>
    </row>
    <row r="7" spans="1:4" s="90" customFormat="1" ht="15.75" x14ac:dyDescent="0.25">
      <c r="A7" s="81" t="s">
        <v>93</v>
      </c>
      <c r="B7" s="7" t="s">
        <v>4</v>
      </c>
      <c r="C7" s="46">
        <v>12</v>
      </c>
      <c r="D7" s="7"/>
    </row>
    <row r="8" spans="1:4" s="90" customFormat="1" ht="15.75" x14ac:dyDescent="0.25">
      <c r="A8" s="81" t="s">
        <v>93</v>
      </c>
      <c r="B8" s="7" t="s">
        <v>6</v>
      </c>
      <c r="C8" s="46">
        <v>9</v>
      </c>
      <c r="D8" s="7"/>
    </row>
    <row r="9" spans="1:4" s="90" customFormat="1" ht="15.75" x14ac:dyDescent="0.25">
      <c r="A9" s="81" t="s">
        <v>84</v>
      </c>
      <c r="B9" s="7" t="s">
        <v>3</v>
      </c>
      <c r="C9">
        <v>3</v>
      </c>
      <c r="D9" s="7"/>
    </row>
    <row r="10" spans="1:4" s="90" customFormat="1" ht="15.75" x14ac:dyDescent="0.25">
      <c r="A10" s="81" t="s">
        <v>84</v>
      </c>
      <c r="B10" s="7" t="s">
        <v>4</v>
      </c>
      <c r="C10">
        <v>12</v>
      </c>
      <c r="D10" s="7"/>
    </row>
    <row r="11" spans="1:4" s="90" customFormat="1" ht="15.75" x14ac:dyDescent="0.25">
      <c r="A11" s="81" t="s">
        <v>84</v>
      </c>
      <c r="B11" s="7" t="s">
        <v>5</v>
      </c>
      <c r="C11" s="46">
        <v>9</v>
      </c>
      <c r="D11" s="7"/>
    </row>
    <row r="12" spans="1:4" s="90" customFormat="1" ht="15.75" x14ac:dyDescent="0.25">
      <c r="A12" s="81" t="s">
        <v>84</v>
      </c>
      <c r="B12" s="7" t="s">
        <v>6</v>
      </c>
      <c r="C12" s="46">
        <v>3</v>
      </c>
      <c r="D12" s="7"/>
    </row>
    <row r="13" spans="1:4" s="90" customFormat="1" ht="15.75" x14ac:dyDescent="0.25">
      <c r="A13" s="81" t="s">
        <v>99</v>
      </c>
      <c r="B13" s="7" t="s">
        <v>3</v>
      </c>
      <c r="C13" s="46">
        <v>9</v>
      </c>
      <c r="D13" s="7"/>
    </row>
    <row r="14" spans="1:4" s="90" customFormat="1" ht="15.75" x14ac:dyDescent="0.25">
      <c r="A14" s="81" t="s">
        <v>99</v>
      </c>
      <c r="B14" s="7" t="s">
        <v>4</v>
      </c>
      <c r="C14" s="46">
        <v>15</v>
      </c>
      <c r="D14" s="7"/>
    </row>
    <row r="15" spans="1:4" s="90" customFormat="1" ht="15.75" x14ac:dyDescent="0.25">
      <c r="A15" s="81" t="s">
        <v>99</v>
      </c>
      <c r="B15" s="7" t="s">
        <v>5</v>
      </c>
      <c r="C15" s="46">
        <v>6</v>
      </c>
      <c r="D15" s="7"/>
    </row>
    <row r="16" spans="1:4" s="90" customFormat="1" ht="15.75" x14ac:dyDescent="0.25">
      <c r="A16" s="81" t="s">
        <v>99</v>
      </c>
      <c r="B16" s="7" t="s">
        <v>6</v>
      </c>
      <c r="C16" s="46">
        <v>9</v>
      </c>
      <c r="D16" s="7"/>
    </row>
    <row r="17" spans="1:4" s="90" customFormat="1" ht="15.75" x14ac:dyDescent="0.25">
      <c r="A17" s="1" t="s">
        <v>897</v>
      </c>
      <c r="B17" s="7" t="s">
        <v>3</v>
      </c>
      <c r="C17" s="7">
        <v>15</v>
      </c>
      <c r="D17" s="7"/>
    </row>
    <row r="18" spans="1:4" s="90" customFormat="1" ht="15.75" x14ac:dyDescent="0.25">
      <c r="A18" s="1" t="s">
        <v>897</v>
      </c>
      <c r="B18" s="7" t="s">
        <v>4</v>
      </c>
      <c r="C18" s="7">
        <v>21</v>
      </c>
      <c r="D18" s="7"/>
    </row>
    <row r="19" spans="1:4" s="90" customFormat="1" ht="15.75" x14ac:dyDescent="0.25">
      <c r="A19" s="1" t="s">
        <v>897</v>
      </c>
      <c r="B19" s="7" t="s">
        <v>6</v>
      </c>
      <c r="C19" s="7">
        <v>9</v>
      </c>
      <c r="D19" s="7"/>
    </row>
    <row r="20" spans="1:4" s="90" customFormat="1" ht="15.75" x14ac:dyDescent="0.25">
      <c r="A20" s="81" t="s">
        <v>87</v>
      </c>
      <c r="B20" s="7" t="s">
        <v>3</v>
      </c>
      <c r="C20" s="46">
        <v>6</v>
      </c>
      <c r="D20" s="7"/>
    </row>
    <row r="21" spans="1:4" s="90" customFormat="1" ht="15.75" x14ac:dyDescent="0.25">
      <c r="A21" s="81" t="s">
        <v>87</v>
      </c>
      <c r="B21" s="7" t="s">
        <v>4</v>
      </c>
      <c r="C21" s="46">
        <v>12</v>
      </c>
      <c r="D21" s="7"/>
    </row>
    <row r="22" spans="1:4" s="90" customFormat="1" ht="15.75" x14ac:dyDescent="0.25">
      <c r="A22" s="81" t="s">
        <v>87</v>
      </c>
      <c r="B22" s="7" t="s">
        <v>5</v>
      </c>
      <c r="C22" s="46">
        <v>3</v>
      </c>
      <c r="D22" s="7"/>
    </row>
    <row r="23" spans="1:4" s="90" customFormat="1" ht="15.75" x14ac:dyDescent="0.25">
      <c r="A23" s="81" t="s">
        <v>87</v>
      </c>
      <c r="B23" s="7" t="s">
        <v>6</v>
      </c>
      <c r="C23" s="46">
        <v>6</v>
      </c>
      <c r="D23" s="7"/>
    </row>
    <row r="24" spans="1:4" s="90" customFormat="1" ht="15.75" x14ac:dyDescent="0.25">
      <c r="A24" s="1" t="s">
        <v>96</v>
      </c>
      <c r="B24" s="7" t="s">
        <v>3</v>
      </c>
      <c r="C24" s="7">
        <v>18</v>
      </c>
      <c r="D24" s="7"/>
    </row>
    <row r="25" spans="1:4" s="90" customFormat="1" ht="15.75" x14ac:dyDescent="0.25">
      <c r="A25" s="1" t="s">
        <v>96</v>
      </c>
      <c r="B25" s="7" t="s">
        <v>4</v>
      </c>
      <c r="C25" s="7">
        <v>15</v>
      </c>
      <c r="D25" s="7"/>
    </row>
    <row r="26" spans="1:4" s="90" customFormat="1" ht="15.75" x14ac:dyDescent="0.25">
      <c r="A26" s="1" t="s">
        <v>96</v>
      </c>
      <c r="B26" s="7" t="s">
        <v>5</v>
      </c>
      <c r="C26" s="7">
        <v>3</v>
      </c>
      <c r="D26" s="7"/>
    </row>
    <row r="27" spans="1:4" s="90" customFormat="1" ht="15.75" x14ac:dyDescent="0.25">
      <c r="A27" s="1" t="s">
        <v>96</v>
      </c>
      <c r="B27" s="7" t="s">
        <v>6</v>
      </c>
      <c r="C27" s="7">
        <v>9</v>
      </c>
      <c r="D27" s="7"/>
    </row>
    <row r="28" spans="1:4" s="90" customFormat="1" ht="15.75" x14ac:dyDescent="0.25">
      <c r="A28" s="81" t="s">
        <v>95</v>
      </c>
      <c r="B28" s="7" t="s">
        <v>3</v>
      </c>
      <c r="C28" s="46">
        <v>9</v>
      </c>
      <c r="D28" s="7"/>
    </row>
    <row r="29" spans="1:4" s="90" customFormat="1" ht="15.75" x14ac:dyDescent="0.25">
      <c r="A29" s="81" t="s">
        <v>95</v>
      </c>
      <c r="B29" s="7" t="s">
        <v>4</v>
      </c>
      <c r="C29" s="46">
        <v>15</v>
      </c>
      <c r="D29" s="7"/>
    </row>
    <row r="30" spans="1:4" s="90" customFormat="1" ht="15.75" x14ac:dyDescent="0.25">
      <c r="A30" s="81" t="s">
        <v>95</v>
      </c>
      <c r="B30" s="7" t="s">
        <v>6</v>
      </c>
      <c r="C30" s="46">
        <v>9</v>
      </c>
    </row>
    <row r="31" spans="1:4" s="90" customFormat="1" ht="15.75" x14ac:dyDescent="0.25">
      <c r="A31" s="1" t="s">
        <v>91</v>
      </c>
      <c r="B31" s="7" t="s">
        <v>3</v>
      </c>
      <c r="C31" s="7">
        <v>12</v>
      </c>
    </row>
    <row r="32" spans="1:4" s="90" customFormat="1" ht="15.75" x14ac:dyDescent="0.25">
      <c r="A32" s="1" t="s">
        <v>91</v>
      </c>
      <c r="B32" s="7" t="s">
        <v>4</v>
      </c>
      <c r="C32" s="7">
        <v>12</v>
      </c>
    </row>
    <row r="33" spans="1:3" s="90" customFormat="1" ht="15.75" x14ac:dyDescent="0.25">
      <c r="A33" s="1" t="s">
        <v>91</v>
      </c>
      <c r="B33" s="7" t="s">
        <v>5</v>
      </c>
      <c r="C33" s="7">
        <v>9</v>
      </c>
    </row>
    <row r="34" spans="1:3" s="90" customFormat="1" ht="15.75" x14ac:dyDescent="0.25">
      <c r="A34" s="1" t="s">
        <v>91</v>
      </c>
      <c r="B34" s="7" t="s">
        <v>6</v>
      </c>
      <c r="C34" s="7">
        <v>6</v>
      </c>
    </row>
    <row r="35" spans="1:3" s="90" customFormat="1" ht="15.75" x14ac:dyDescent="0.25">
      <c r="A35" s="1" t="s">
        <v>97</v>
      </c>
      <c r="B35" s="7" t="s">
        <v>3</v>
      </c>
      <c r="C35" s="7">
        <v>21</v>
      </c>
    </row>
    <row r="36" spans="1:3" s="90" customFormat="1" ht="15.75" x14ac:dyDescent="0.25">
      <c r="A36" s="1" t="s">
        <v>97</v>
      </c>
      <c r="B36" s="7" t="s">
        <v>4</v>
      </c>
      <c r="C36" s="7">
        <v>12</v>
      </c>
    </row>
    <row r="37" spans="1:3" s="90" customFormat="1" ht="15.75" x14ac:dyDescent="0.25">
      <c r="A37" s="1" t="s">
        <v>97</v>
      </c>
      <c r="B37" s="7" t="s">
        <v>5</v>
      </c>
      <c r="C37" s="7">
        <v>6</v>
      </c>
    </row>
    <row r="38" spans="1:3" s="90" customFormat="1" ht="15.75" x14ac:dyDescent="0.25">
      <c r="A38" s="1" t="s">
        <v>97</v>
      </c>
      <c r="B38" s="7" t="s">
        <v>6</v>
      </c>
      <c r="C38" s="7">
        <v>6</v>
      </c>
    </row>
    <row r="39" spans="1:3" s="90" customFormat="1" ht="15.75" x14ac:dyDescent="0.25">
      <c r="A39" s="1" t="s">
        <v>83</v>
      </c>
      <c r="B39" s="7" t="s">
        <v>3</v>
      </c>
      <c r="C39" s="7">
        <v>12</v>
      </c>
    </row>
    <row r="40" spans="1:3" s="90" customFormat="1" ht="15.75" x14ac:dyDescent="0.25">
      <c r="A40" s="1" t="s">
        <v>83</v>
      </c>
      <c r="B40" s="7" t="s">
        <v>4</v>
      </c>
      <c r="C40" s="7">
        <v>9</v>
      </c>
    </row>
    <row r="41" spans="1:3" s="90" customFormat="1" ht="15.75" x14ac:dyDescent="0.25">
      <c r="A41" s="1" t="s">
        <v>83</v>
      </c>
      <c r="B41" s="7" t="s">
        <v>5</v>
      </c>
      <c r="C41" s="7">
        <v>6</v>
      </c>
    </row>
    <row r="42" spans="1:3" ht="15.75" x14ac:dyDescent="0.25">
      <c r="A42" s="1" t="s">
        <v>83</v>
      </c>
      <c r="B42" s="7" t="s">
        <v>6</v>
      </c>
      <c r="C42" s="7">
        <v>6</v>
      </c>
    </row>
    <row r="43" spans="1:3" ht="15.75" x14ac:dyDescent="0.25">
      <c r="A43" s="1" t="s">
        <v>350</v>
      </c>
      <c r="B43" s="7" t="s">
        <v>3</v>
      </c>
      <c r="C43" s="7">
        <v>6</v>
      </c>
    </row>
    <row r="44" spans="1:3" ht="15.75" x14ac:dyDescent="0.25">
      <c r="A44" s="1" t="s">
        <v>350</v>
      </c>
      <c r="B44" s="7" t="s">
        <v>4</v>
      </c>
      <c r="C44" s="7">
        <v>18</v>
      </c>
    </row>
    <row r="45" spans="1:3" ht="15.75" x14ac:dyDescent="0.25">
      <c r="A45" s="1" t="s">
        <v>350</v>
      </c>
      <c r="B45" s="7" t="s">
        <v>5</v>
      </c>
      <c r="C45" s="7">
        <v>6</v>
      </c>
    </row>
    <row r="46" spans="1:3" ht="15.75" x14ac:dyDescent="0.25">
      <c r="A46" s="1" t="s">
        <v>350</v>
      </c>
      <c r="B46" s="7" t="s">
        <v>6</v>
      </c>
      <c r="C46" s="7">
        <v>3</v>
      </c>
    </row>
    <row r="47" spans="1:3" ht="15.75" x14ac:dyDescent="0.25">
      <c r="A47" t="s">
        <v>722</v>
      </c>
      <c r="B47" s="7" t="s">
        <v>3</v>
      </c>
      <c r="C47" s="7">
        <v>6</v>
      </c>
    </row>
    <row r="48" spans="1:3" ht="15.75" x14ac:dyDescent="0.25">
      <c r="A48" t="s">
        <v>722</v>
      </c>
      <c r="B48" s="7" t="s">
        <v>4</v>
      </c>
      <c r="C48" s="7">
        <v>18</v>
      </c>
    </row>
    <row r="49" spans="1:3" ht="15.75" x14ac:dyDescent="0.25">
      <c r="A49" t="s">
        <v>722</v>
      </c>
      <c r="B49" s="7" t="s">
        <v>5</v>
      </c>
      <c r="C49" s="7">
        <v>6</v>
      </c>
    </row>
    <row r="50" spans="1:3" ht="15.75" x14ac:dyDescent="0.25">
      <c r="A50" t="s">
        <v>722</v>
      </c>
      <c r="B50" s="7" t="s">
        <v>6</v>
      </c>
      <c r="C50" s="7">
        <v>3</v>
      </c>
    </row>
    <row r="51" spans="1:3" ht="15.75" x14ac:dyDescent="0.25">
      <c r="A51" s="81" t="s">
        <v>92</v>
      </c>
      <c r="B51" s="7" t="s">
        <v>3</v>
      </c>
      <c r="C51" s="46">
        <v>12</v>
      </c>
    </row>
    <row r="52" spans="1:3" ht="15.75" x14ac:dyDescent="0.25">
      <c r="A52" s="81" t="s">
        <v>92</v>
      </c>
      <c r="B52" s="7" t="s">
        <v>4</v>
      </c>
      <c r="C52" s="46">
        <v>9</v>
      </c>
    </row>
    <row r="53" spans="1:3" ht="15.75" x14ac:dyDescent="0.25">
      <c r="A53" s="81" t="s">
        <v>92</v>
      </c>
      <c r="B53" s="7" t="s">
        <v>5</v>
      </c>
      <c r="C53" s="46">
        <v>3</v>
      </c>
    </row>
    <row r="54" spans="1:3" ht="15.75" x14ac:dyDescent="0.25">
      <c r="A54" s="81" t="s">
        <v>92</v>
      </c>
      <c r="B54" s="7" t="s">
        <v>6</v>
      </c>
      <c r="C54" s="46">
        <v>9</v>
      </c>
    </row>
    <row r="55" spans="1:3" ht="15.75" x14ac:dyDescent="0.25">
      <c r="A55" s="81" t="s">
        <v>94</v>
      </c>
      <c r="B55" s="7" t="s">
        <v>3</v>
      </c>
      <c r="C55" s="46">
        <v>12</v>
      </c>
    </row>
    <row r="56" spans="1:3" ht="15.75" x14ac:dyDescent="0.25">
      <c r="A56" s="81" t="s">
        <v>94</v>
      </c>
      <c r="B56" s="7" t="s">
        <v>4</v>
      </c>
      <c r="C56" s="46">
        <v>9</v>
      </c>
    </row>
    <row r="57" spans="1:3" ht="15.75" x14ac:dyDescent="0.25">
      <c r="A57" s="81" t="s">
        <v>94</v>
      </c>
      <c r="B57" s="7" t="s">
        <v>5</v>
      </c>
      <c r="C57" s="46">
        <v>6</v>
      </c>
    </row>
    <row r="58" spans="1:3" ht="15.75" x14ac:dyDescent="0.25">
      <c r="A58" s="81" t="s">
        <v>94</v>
      </c>
      <c r="B58" s="7" t="s">
        <v>6</v>
      </c>
      <c r="C58" s="46">
        <v>6</v>
      </c>
    </row>
    <row r="59" spans="1:3" ht="15.75" x14ac:dyDescent="0.25">
      <c r="A59" s="1" t="s">
        <v>89</v>
      </c>
      <c r="B59" s="7" t="s">
        <v>3</v>
      </c>
      <c r="C59" s="7">
        <v>12</v>
      </c>
    </row>
    <row r="60" spans="1:3" ht="15.75" x14ac:dyDescent="0.25">
      <c r="A60" s="1" t="s">
        <v>89</v>
      </c>
      <c r="B60" s="7" t="s">
        <v>4</v>
      </c>
      <c r="C60" s="7">
        <v>15</v>
      </c>
    </row>
    <row r="61" spans="1:3" ht="15.75" x14ac:dyDescent="0.25">
      <c r="A61" s="1" t="s">
        <v>89</v>
      </c>
      <c r="B61" s="7" t="s">
        <v>5</v>
      </c>
      <c r="C61" s="7">
        <v>3</v>
      </c>
    </row>
    <row r="62" spans="1:3" ht="15.75" x14ac:dyDescent="0.25">
      <c r="A62" s="1" t="s">
        <v>89</v>
      </c>
      <c r="B62" s="7" t="s">
        <v>6</v>
      </c>
      <c r="C62" s="7">
        <v>9</v>
      </c>
    </row>
    <row r="63" spans="1:3" ht="15.75" x14ac:dyDescent="0.25">
      <c r="A63" s="81" t="s">
        <v>100</v>
      </c>
      <c r="B63" s="7" t="s">
        <v>3</v>
      </c>
      <c r="C63" s="46">
        <v>12</v>
      </c>
    </row>
    <row r="64" spans="1:3" ht="15.75" x14ac:dyDescent="0.25">
      <c r="A64" s="81" t="s">
        <v>100</v>
      </c>
      <c r="B64" s="7" t="s">
        <v>4</v>
      </c>
      <c r="C64" s="46">
        <v>15</v>
      </c>
    </row>
    <row r="65" spans="1:3" ht="15.75" x14ac:dyDescent="0.25">
      <c r="A65" s="81" t="s">
        <v>100</v>
      </c>
      <c r="B65" s="7" t="s">
        <v>5</v>
      </c>
      <c r="C65" s="46">
        <v>3</v>
      </c>
    </row>
    <row r="66" spans="1:3" ht="15.75" x14ac:dyDescent="0.25">
      <c r="A66" s="81" t="s">
        <v>100</v>
      </c>
      <c r="B66" s="7" t="s">
        <v>6</v>
      </c>
      <c r="C66" s="46">
        <v>9</v>
      </c>
    </row>
    <row r="67" spans="1:3" ht="15.75" x14ac:dyDescent="0.25">
      <c r="A67" t="s">
        <v>882</v>
      </c>
      <c r="B67" s="7" t="s">
        <v>3</v>
      </c>
      <c r="C67">
        <v>3</v>
      </c>
    </row>
    <row r="68" spans="1:3" ht="15.75" x14ac:dyDescent="0.25">
      <c r="A68" t="s">
        <v>882</v>
      </c>
      <c r="B68" s="7" t="s">
        <v>4</v>
      </c>
      <c r="C68">
        <v>18</v>
      </c>
    </row>
    <row r="69" spans="1:3" ht="15.75" x14ac:dyDescent="0.25">
      <c r="A69" t="s">
        <v>882</v>
      </c>
      <c r="B69" s="7" t="s">
        <v>5</v>
      </c>
      <c r="C69">
        <v>3</v>
      </c>
    </row>
    <row r="70" spans="1:3" ht="15.75" x14ac:dyDescent="0.25">
      <c r="A70" t="s">
        <v>882</v>
      </c>
      <c r="B70" s="7" t="s">
        <v>6</v>
      </c>
      <c r="C70">
        <v>9</v>
      </c>
    </row>
    <row r="71" spans="1:3" ht="15.75" x14ac:dyDescent="0.25">
      <c r="A71" s="81" t="s">
        <v>564</v>
      </c>
      <c r="B71" s="7" t="s">
        <v>3</v>
      </c>
      <c r="C71" s="46">
        <v>9</v>
      </c>
    </row>
    <row r="72" spans="1:3" ht="15.75" x14ac:dyDescent="0.25">
      <c r="A72" s="81" t="s">
        <v>564</v>
      </c>
      <c r="B72" s="7" t="s">
        <v>4</v>
      </c>
      <c r="C72" s="46">
        <v>15</v>
      </c>
    </row>
    <row r="73" spans="1:3" ht="15.75" x14ac:dyDescent="0.25">
      <c r="A73" s="81" t="s">
        <v>564</v>
      </c>
      <c r="B73" s="7" t="s">
        <v>6</v>
      </c>
      <c r="C73" s="46">
        <v>9</v>
      </c>
    </row>
    <row r="74" spans="1:3" ht="15.75" x14ac:dyDescent="0.25">
      <c r="A74" s="81" t="s">
        <v>86</v>
      </c>
      <c r="B74" s="7" t="s">
        <v>3</v>
      </c>
      <c r="C74" s="46">
        <v>3</v>
      </c>
    </row>
    <row r="75" spans="1:3" ht="15.75" x14ac:dyDescent="0.25">
      <c r="A75" s="81" t="s">
        <v>86</v>
      </c>
      <c r="B75" s="7" t="s">
        <v>4</v>
      </c>
      <c r="C75" s="46">
        <v>9</v>
      </c>
    </row>
    <row r="76" spans="1:3" ht="15.75" x14ac:dyDescent="0.25">
      <c r="A76" s="81" t="s">
        <v>86</v>
      </c>
      <c r="B76" s="7" t="s">
        <v>5</v>
      </c>
      <c r="C76" s="46">
        <v>9</v>
      </c>
    </row>
    <row r="77" spans="1:3" ht="15.75" x14ac:dyDescent="0.25">
      <c r="A77" s="81" t="s">
        <v>86</v>
      </c>
      <c r="B77" s="7" t="s">
        <v>6</v>
      </c>
      <c r="C77" s="46">
        <v>6</v>
      </c>
    </row>
    <row r="78" spans="1:3" ht="15.75" x14ac:dyDescent="0.25">
      <c r="A78" s="81" t="s">
        <v>85</v>
      </c>
      <c r="B78" s="7" t="s">
        <v>3</v>
      </c>
      <c r="C78" s="46">
        <v>6</v>
      </c>
    </row>
    <row r="79" spans="1:3" ht="15.75" x14ac:dyDescent="0.25">
      <c r="A79" s="81" t="s">
        <v>85</v>
      </c>
      <c r="B79" s="7" t="s">
        <v>4</v>
      </c>
      <c r="C79" s="46">
        <v>9</v>
      </c>
    </row>
    <row r="80" spans="1:3" ht="15.75" x14ac:dyDescent="0.25">
      <c r="A80" s="81" t="s">
        <v>85</v>
      </c>
      <c r="B80" s="7" t="s">
        <v>5</v>
      </c>
      <c r="C80" s="46">
        <v>9</v>
      </c>
    </row>
    <row r="81" spans="1:4" ht="15.75" x14ac:dyDescent="0.25">
      <c r="A81" s="81" t="s">
        <v>85</v>
      </c>
      <c r="B81" s="7" t="s">
        <v>6</v>
      </c>
      <c r="C81" s="46">
        <v>3</v>
      </c>
    </row>
    <row r="82" spans="1:4" ht="15.75" x14ac:dyDescent="0.25">
      <c r="A82" s="81" t="s">
        <v>88</v>
      </c>
      <c r="B82" s="7" t="s">
        <v>3</v>
      </c>
      <c r="C82" s="46">
        <v>3</v>
      </c>
    </row>
    <row r="83" spans="1:4" ht="15.75" x14ac:dyDescent="0.25">
      <c r="A83" s="81" t="s">
        <v>88</v>
      </c>
      <c r="B83" s="7" t="s">
        <v>4</v>
      </c>
      <c r="C83" s="46">
        <v>12</v>
      </c>
    </row>
    <row r="84" spans="1:4" ht="15.75" x14ac:dyDescent="0.25">
      <c r="A84" s="81" t="s">
        <v>88</v>
      </c>
      <c r="B84" s="7" t="s">
        <v>5</v>
      </c>
      <c r="C84" s="46">
        <v>3</v>
      </c>
    </row>
    <row r="85" spans="1:4" s="46" customFormat="1" ht="15.75" x14ac:dyDescent="0.25">
      <c r="A85" s="81" t="s">
        <v>88</v>
      </c>
      <c r="B85" s="7" t="s">
        <v>6</v>
      </c>
      <c r="C85" s="46">
        <v>9</v>
      </c>
      <c r="D85"/>
    </row>
    <row r="86" spans="1:4" s="46" customFormat="1" ht="15.75" x14ac:dyDescent="0.25">
      <c r="A86" s="1" t="s">
        <v>98</v>
      </c>
      <c r="B86" s="7" t="s">
        <v>3</v>
      </c>
      <c r="C86">
        <v>21</v>
      </c>
      <c r="D86"/>
    </row>
    <row r="87" spans="1:4" s="46" customFormat="1" ht="15.75" x14ac:dyDescent="0.25">
      <c r="A87" s="1" t="s">
        <v>98</v>
      </c>
      <c r="B87" s="7" t="s">
        <v>4</v>
      </c>
      <c r="C87">
        <v>15</v>
      </c>
    </row>
    <row r="88" spans="1:4" s="46" customFormat="1" ht="15.75" x14ac:dyDescent="0.25">
      <c r="A88" s="1" t="s">
        <v>98</v>
      </c>
      <c r="B88" s="7" t="s">
        <v>6</v>
      </c>
      <c r="C88">
        <v>9</v>
      </c>
    </row>
    <row r="89" spans="1:4" s="46" customFormat="1" ht="15.75" x14ac:dyDescent="0.25">
      <c r="A89" s="1" t="s">
        <v>90</v>
      </c>
      <c r="B89" s="7" t="s">
        <v>3</v>
      </c>
      <c r="C89" s="46">
        <v>15</v>
      </c>
    </row>
    <row r="90" spans="1:4" s="46" customFormat="1" ht="15.75" x14ac:dyDescent="0.25">
      <c r="A90" s="1" t="s">
        <v>90</v>
      </c>
      <c r="B90" s="7" t="s">
        <v>4</v>
      </c>
      <c r="C90" s="46">
        <v>9</v>
      </c>
    </row>
    <row r="91" spans="1:4" s="46" customFormat="1" ht="15.75" x14ac:dyDescent="0.25">
      <c r="A91" s="1" t="s">
        <v>90</v>
      </c>
      <c r="B91" s="7" t="s">
        <v>5</v>
      </c>
      <c r="C91" s="46">
        <v>6</v>
      </c>
    </row>
    <row r="92" spans="1:4" s="46" customFormat="1" ht="15.75" x14ac:dyDescent="0.25">
      <c r="A92" s="1" t="s">
        <v>90</v>
      </c>
      <c r="B92" s="7" t="s">
        <v>6</v>
      </c>
      <c r="C92" s="46">
        <v>9</v>
      </c>
    </row>
    <row r="93" spans="1:4" s="46" customFormat="1" x14ac:dyDescent="0.25">
      <c r="A93"/>
      <c r="B93"/>
    </row>
    <row r="94" spans="1:4" s="46" customFormat="1" x14ac:dyDescent="0.25">
      <c r="A94"/>
      <c r="B94"/>
    </row>
    <row r="95" spans="1:4" s="46" customFormat="1" x14ac:dyDescent="0.25">
      <c r="A95"/>
      <c r="B95"/>
    </row>
    <row r="96" spans="1:4" s="46" customFormat="1" x14ac:dyDescent="0.25">
      <c r="A96"/>
      <c r="B96"/>
      <c r="C96"/>
    </row>
    <row r="97" spans="1:3" s="46" customFormat="1" x14ac:dyDescent="0.25">
      <c r="A97"/>
      <c r="B97"/>
      <c r="C97"/>
    </row>
    <row r="133" spans="1:4" s="46" customFormat="1" x14ac:dyDescent="0.25">
      <c r="A133"/>
      <c r="B133"/>
      <c r="C133"/>
      <c r="D133"/>
    </row>
    <row r="134" spans="1:4" s="46" customFormat="1" x14ac:dyDescent="0.25">
      <c r="A134"/>
      <c r="B134"/>
      <c r="C134"/>
      <c r="D134"/>
    </row>
    <row r="135" spans="1:4" s="46" customFormat="1" x14ac:dyDescent="0.25">
      <c r="A135"/>
      <c r="B135"/>
      <c r="C135"/>
      <c r="D135"/>
    </row>
    <row r="136" spans="1:4" s="46" customFormat="1" x14ac:dyDescent="0.25">
      <c r="A136"/>
      <c r="B136"/>
      <c r="C136"/>
      <c r="D136"/>
    </row>
    <row r="137" spans="1:4" s="46" customFormat="1" x14ac:dyDescent="0.25">
      <c r="A137"/>
      <c r="B137"/>
      <c r="C137"/>
      <c r="D137"/>
    </row>
    <row r="138" spans="1:4" s="46" customFormat="1" x14ac:dyDescent="0.25">
      <c r="A138"/>
      <c r="B138"/>
      <c r="C138"/>
      <c r="D138"/>
    </row>
    <row r="139" spans="1:4" s="46" customFormat="1" x14ac:dyDescent="0.25">
      <c r="A139"/>
      <c r="B139"/>
      <c r="C139"/>
    </row>
    <row r="140" spans="1:4" s="46" customFormat="1" x14ac:dyDescent="0.25">
      <c r="A140"/>
      <c r="B140"/>
      <c r="C140"/>
    </row>
    <row r="141" spans="1:4" s="46" customFormat="1" x14ac:dyDescent="0.25">
      <c r="A141"/>
      <c r="B141"/>
      <c r="C141"/>
    </row>
    <row r="142" spans="1:4" s="46" customFormat="1" x14ac:dyDescent="0.25">
      <c r="A142"/>
      <c r="B142"/>
      <c r="C142"/>
    </row>
    <row r="143" spans="1:4" s="46" customFormat="1" x14ac:dyDescent="0.25">
      <c r="A143"/>
      <c r="B143"/>
      <c r="C143"/>
    </row>
    <row r="144" spans="1:4" s="46" customFormat="1" x14ac:dyDescent="0.25">
      <c r="A144"/>
      <c r="B144"/>
      <c r="C144"/>
    </row>
    <row r="145" spans="1:4" s="46" customFormat="1" x14ac:dyDescent="0.25">
      <c r="A145"/>
      <c r="B145"/>
      <c r="C145"/>
    </row>
    <row r="146" spans="1:4" s="46" customFormat="1" x14ac:dyDescent="0.25">
      <c r="A146"/>
      <c r="B146"/>
      <c r="C146"/>
    </row>
    <row r="147" spans="1:4" x14ac:dyDescent="0.25">
      <c r="D147" s="40"/>
    </row>
    <row r="148" spans="1:4" x14ac:dyDescent="0.25">
      <c r="D148" s="40"/>
    </row>
    <row r="149" spans="1:4" x14ac:dyDescent="0.25">
      <c r="D149" s="40"/>
    </row>
    <row r="150" spans="1:4" x14ac:dyDescent="0.25">
      <c r="D150" s="40"/>
    </row>
    <row r="151" spans="1:4" x14ac:dyDescent="0.25">
      <c r="D151" s="40"/>
    </row>
    <row r="152" spans="1:4" x14ac:dyDescent="0.25">
      <c r="D152" s="40"/>
    </row>
    <row r="153" spans="1:4" x14ac:dyDescent="0.25">
      <c r="D153" s="40"/>
    </row>
    <row r="154" spans="1:4" x14ac:dyDescent="0.25">
      <c r="D154" s="40"/>
    </row>
    <row r="155" spans="1:4" x14ac:dyDescent="0.25">
      <c r="D155" s="40"/>
    </row>
    <row r="156" spans="1:4" x14ac:dyDescent="0.25">
      <c r="D156" s="40"/>
    </row>
    <row r="157" spans="1:4" x14ac:dyDescent="0.25">
      <c r="D157" s="40"/>
    </row>
    <row r="158" spans="1:4" x14ac:dyDescent="0.25">
      <c r="D158" s="40"/>
    </row>
    <row r="159" spans="1:4" x14ac:dyDescent="0.25">
      <c r="D159" s="40"/>
    </row>
    <row r="160" spans="1:4" x14ac:dyDescent="0.25">
      <c r="D160" s="40"/>
    </row>
    <row r="161" spans="4:4" x14ac:dyDescent="0.25">
      <c r="D161" s="40"/>
    </row>
    <row r="162" spans="4:4" x14ac:dyDescent="0.25">
      <c r="D162" s="40"/>
    </row>
    <row r="163" spans="4:4" x14ac:dyDescent="0.25">
      <c r="D163" s="40"/>
    </row>
    <row r="164" spans="4:4" x14ac:dyDescent="0.25">
      <c r="D164" s="40"/>
    </row>
    <row r="165" spans="4:4" x14ac:dyDescent="0.25">
      <c r="D165" s="40"/>
    </row>
    <row r="166" spans="4:4" x14ac:dyDescent="0.25">
      <c r="D166" s="40"/>
    </row>
    <row r="167" spans="4:4" x14ac:dyDescent="0.25">
      <c r="D167" s="40"/>
    </row>
    <row r="168" spans="4:4" x14ac:dyDescent="0.25">
      <c r="D168" s="40"/>
    </row>
  </sheetData>
  <sheetProtection algorithmName="SHA-512" hashValue="hBKrGfOUIFxTQZePso7K/bc053j2F7NbyAjBQg7+ys54z1d+AXZf+FvgVaIF3lYiTrXuuTfHk2eFV20o0vYatQ==" saltValue="kaiOZpq3acKWXhjurZeXh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B545"/>
  <sheetViews>
    <sheetView zoomScale="70" zoomScaleNormal="70" workbookViewId="0">
      <pane ySplit="1" topLeftCell="A2" activePane="bottomLeft" state="frozen"/>
      <selection activeCell="DU1" sqref="DU1"/>
      <selection pane="bottomLeft" activeCell="A2" sqref="A2"/>
    </sheetView>
  </sheetViews>
  <sheetFormatPr defaultRowHeight="15.75" outlineLevelRow="1" x14ac:dyDescent="0.25"/>
  <cols>
    <col min="1" max="1" width="53.140625" style="46" customWidth="1"/>
    <col min="2" max="2" width="5.140625" style="2" customWidth="1"/>
  </cols>
  <sheetData>
    <row r="1" spans="1:2" x14ac:dyDescent="0.25">
      <c r="A1" s="44" t="s">
        <v>462</v>
      </c>
      <c r="B1" s="3" t="s">
        <v>0</v>
      </c>
    </row>
    <row r="2" spans="1:2" x14ac:dyDescent="0.25">
      <c r="A2" s="81" t="s">
        <v>378</v>
      </c>
      <c r="B2" s="50">
        <v>1</v>
      </c>
    </row>
    <row r="3" spans="1:2" outlineLevel="1" x14ac:dyDescent="0.25">
      <c r="A3" s="81" t="s">
        <v>379</v>
      </c>
      <c r="B3" s="50">
        <v>1</v>
      </c>
    </row>
    <row r="4" spans="1:2" outlineLevel="1" x14ac:dyDescent="0.25">
      <c r="A4" s="81" t="s">
        <v>392</v>
      </c>
      <c r="B4" s="50">
        <v>1</v>
      </c>
    </row>
    <row r="5" spans="1:2" outlineLevel="1" x14ac:dyDescent="0.25">
      <c r="A5" s="81" t="s">
        <v>642</v>
      </c>
      <c r="B5" s="50">
        <v>1</v>
      </c>
    </row>
    <row r="6" spans="1:2" outlineLevel="1" x14ac:dyDescent="0.25">
      <c r="A6" s="81" t="s">
        <v>643</v>
      </c>
      <c r="B6" s="50">
        <v>1</v>
      </c>
    </row>
    <row r="7" spans="1:2" outlineLevel="1" x14ac:dyDescent="0.25">
      <c r="A7" s="81" t="s">
        <v>391</v>
      </c>
      <c r="B7" s="50">
        <v>1</v>
      </c>
    </row>
    <row r="8" spans="1:2" outlineLevel="1" x14ac:dyDescent="0.25">
      <c r="A8" s="81" t="s">
        <v>394</v>
      </c>
      <c r="B8" s="50">
        <v>1</v>
      </c>
    </row>
    <row r="9" spans="1:2" outlineLevel="1" x14ac:dyDescent="0.25">
      <c r="A9" s="81" t="s">
        <v>384</v>
      </c>
      <c r="B9" s="50">
        <v>1</v>
      </c>
    </row>
    <row r="10" spans="1:2" outlineLevel="1" x14ac:dyDescent="0.25">
      <c r="A10" s="81" t="s">
        <v>380</v>
      </c>
      <c r="B10" s="50">
        <v>1</v>
      </c>
    </row>
    <row r="11" spans="1:2" outlineLevel="1" x14ac:dyDescent="0.25">
      <c r="A11" s="81" t="s">
        <v>644</v>
      </c>
      <c r="B11" s="50">
        <v>1</v>
      </c>
    </row>
    <row r="12" spans="1:2" outlineLevel="1" x14ac:dyDescent="0.25">
      <c r="A12" s="81" t="s">
        <v>645</v>
      </c>
      <c r="B12" s="50">
        <v>1</v>
      </c>
    </row>
    <row r="13" spans="1:2" outlineLevel="1" x14ac:dyDescent="0.25">
      <c r="A13" s="81" t="s">
        <v>388</v>
      </c>
      <c r="B13" s="50">
        <v>1</v>
      </c>
    </row>
    <row r="14" spans="1:2" outlineLevel="1" x14ac:dyDescent="0.25">
      <c r="A14" s="81" t="s">
        <v>382</v>
      </c>
      <c r="B14" s="50">
        <v>1</v>
      </c>
    </row>
    <row r="15" spans="1:2" outlineLevel="1" x14ac:dyDescent="0.25">
      <c r="A15" s="82" t="s">
        <v>854</v>
      </c>
      <c r="B15" s="2">
        <v>2</v>
      </c>
    </row>
    <row r="16" spans="1:2" outlineLevel="1" x14ac:dyDescent="0.25">
      <c r="A16" s="82" t="s">
        <v>748</v>
      </c>
      <c r="B16" s="2">
        <v>2</v>
      </c>
    </row>
    <row r="17" spans="1:2" outlineLevel="1" x14ac:dyDescent="0.25">
      <c r="A17" s="81" t="s">
        <v>463</v>
      </c>
      <c r="B17" s="50">
        <v>2</v>
      </c>
    </row>
    <row r="18" spans="1:2" outlineLevel="1" x14ac:dyDescent="0.25">
      <c r="A18" s="81" t="s">
        <v>464</v>
      </c>
      <c r="B18" s="50">
        <v>2</v>
      </c>
    </row>
    <row r="19" spans="1:2" outlineLevel="1" x14ac:dyDescent="0.25">
      <c r="A19" s="81" t="s">
        <v>646</v>
      </c>
      <c r="B19" s="50">
        <v>2</v>
      </c>
    </row>
    <row r="20" spans="1:2" outlineLevel="1" x14ac:dyDescent="0.25">
      <c r="A20" s="81" t="s">
        <v>647</v>
      </c>
      <c r="B20" s="50">
        <v>2</v>
      </c>
    </row>
    <row r="21" spans="1:2" outlineLevel="1" x14ac:dyDescent="0.25">
      <c r="A21" s="81" t="s">
        <v>465</v>
      </c>
      <c r="B21" s="50">
        <v>2</v>
      </c>
    </row>
    <row r="22" spans="1:2" outlineLevel="1" x14ac:dyDescent="0.25">
      <c r="A22" s="81" t="s">
        <v>466</v>
      </c>
      <c r="B22" s="50">
        <v>2</v>
      </c>
    </row>
    <row r="23" spans="1:2" outlineLevel="1" x14ac:dyDescent="0.25">
      <c r="A23" s="81" t="s">
        <v>648</v>
      </c>
      <c r="B23" s="50">
        <v>2</v>
      </c>
    </row>
    <row r="24" spans="1:2" outlineLevel="1" x14ac:dyDescent="0.25">
      <c r="A24" s="81" t="s">
        <v>649</v>
      </c>
      <c r="B24" s="50">
        <v>2</v>
      </c>
    </row>
    <row r="25" spans="1:2" outlineLevel="1" x14ac:dyDescent="0.25">
      <c r="A25" s="81" t="s">
        <v>467</v>
      </c>
      <c r="B25" s="50">
        <v>2</v>
      </c>
    </row>
    <row r="26" spans="1:2" outlineLevel="1" x14ac:dyDescent="0.25">
      <c r="A26" s="81" t="s">
        <v>468</v>
      </c>
      <c r="B26" s="50">
        <v>2</v>
      </c>
    </row>
    <row r="27" spans="1:2" outlineLevel="1" x14ac:dyDescent="0.25">
      <c r="A27" s="81" t="s">
        <v>650</v>
      </c>
      <c r="B27" s="50">
        <v>2</v>
      </c>
    </row>
    <row r="28" spans="1:2" outlineLevel="1" x14ac:dyDescent="0.25">
      <c r="A28" s="81" t="s">
        <v>651</v>
      </c>
      <c r="B28" s="50">
        <v>2</v>
      </c>
    </row>
    <row r="29" spans="1:2" outlineLevel="1" x14ac:dyDescent="0.25">
      <c r="A29" s="81" t="s">
        <v>652</v>
      </c>
      <c r="B29" s="50">
        <v>2</v>
      </c>
    </row>
    <row r="30" spans="1:2" outlineLevel="1" x14ac:dyDescent="0.25">
      <c r="A30" s="81" t="s">
        <v>653</v>
      </c>
      <c r="B30" s="50">
        <v>2</v>
      </c>
    </row>
    <row r="31" spans="1:2" outlineLevel="1" x14ac:dyDescent="0.25">
      <c r="A31" s="81" t="s">
        <v>469</v>
      </c>
      <c r="B31" s="50">
        <v>2</v>
      </c>
    </row>
    <row r="32" spans="1:2" outlineLevel="1" x14ac:dyDescent="0.25">
      <c r="A32" s="81" t="s">
        <v>470</v>
      </c>
      <c r="B32" s="50">
        <v>2</v>
      </c>
    </row>
    <row r="33" spans="1:2" outlineLevel="1" x14ac:dyDescent="0.25">
      <c r="A33" s="81" t="s">
        <v>654</v>
      </c>
      <c r="B33" s="50">
        <v>2</v>
      </c>
    </row>
    <row r="34" spans="1:2" outlineLevel="1" x14ac:dyDescent="0.25">
      <c r="A34" s="81" t="s">
        <v>655</v>
      </c>
      <c r="B34" s="50">
        <v>2</v>
      </c>
    </row>
    <row r="35" spans="1:2" outlineLevel="1" x14ac:dyDescent="0.25">
      <c r="A35" s="81" t="s">
        <v>471</v>
      </c>
      <c r="B35" s="50">
        <v>2</v>
      </c>
    </row>
    <row r="36" spans="1:2" outlineLevel="1" x14ac:dyDescent="0.25">
      <c r="A36" s="81" t="s">
        <v>472</v>
      </c>
      <c r="B36" s="50">
        <v>2</v>
      </c>
    </row>
    <row r="37" spans="1:2" outlineLevel="1" x14ac:dyDescent="0.25">
      <c r="A37" s="81" t="s">
        <v>473</v>
      </c>
      <c r="B37" s="50">
        <v>2</v>
      </c>
    </row>
    <row r="38" spans="1:2" outlineLevel="1" x14ac:dyDescent="0.25">
      <c r="A38" s="81" t="s">
        <v>474</v>
      </c>
      <c r="B38" s="50">
        <v>2</v>
      </c>
    </row>
    <row r="39" spans="1:2" outlineLevel="1" x14ac:dyDescent="0.25">
      <c r="A39" s="81" t="s">
        <v>656</v>
      </c>
      <c r="B39" s="50">
        <v>2</v>
      </c>
    </row>
    <row r="40" spans="1:2" outlineLevel="1" x14ac:dyDescent="0.25">
      <c r="A40" s="81" t="s">
        <v>657</v>
      </c>
      <c r="B40" s="50">
        <v>2</v>
      </c>
    </row>
    <row r="41" spans="1:2" outlineLevel="1" x14ac:dyDescent="0.25">
      <c r="A41" s="81" t="s">
        <v>475</v>
      </c>
      <c r="B41" s="50">
        <v>2</v>
      </c>
    </row>
    <row r="42" spans="1:2" outlineLevel="1" x14ac:dyDescent="0.25">
      <c r="A42" s="81" t="s">
        <v>476</v>
      </c>
      <c r="B42" s="50">
        <v>2</v>
      </c>
    </row>
    <row r="43" spans="1:2" outlineLevel="1" x14ac:dyDescent="0.25">
      <c r="A43" s="81" t="s">
        <v>658</v>
      </c>
      <c r="B43" s="50">
        <v>2</v>
      </c>
    </row>
    <row r="44" spans="1:2" outlineLevel="1" x14ac:dyDescent="0.25">
      <c r="A44" s="81" t="s">
        <v>659</v>
      </c>
      <c r="B44" s="50">
        <v>2</v>
      </c>
    </row>
    <row r="45" spans="1:2" outlineLevel="1" x14ac:dyDescent="0.25">
      <c r="A45" s="81" t="s">
        <v>477</v>
      </c>
      <c r="B45" s="50">
        <v>2</v>
      </c>
    </row>
    <row r="46" spans="1:2" outlineLevel="1" x14ac:dyDescent="0.25">
      <c r="A46" s="81" t="s">
        <v>478</v>
      </c>
      <c r="B46" s="50">
        <v>2</v>
      </c>
    </row>
    <row r="47" spans="1:2" outlineLevel="1" x14ac:dyDescent="0.25">
      <c r="A47" s="81" t="s">
        <v>660</v>
      </c>
      <c r="B47" s="50">
        <v>2</v>
      </c>
    </row>
    <row r="48" spans="1:2" outlineLevel="1" x14ac:dyDescent="0.25">
      <c r="A48" s="81" t="s">
        <v>661</v>
      </c>
      <c r="B48" s="50">
        <v>2</v>
      </c>
    </row>
    <row r="49" spans="1:2" outlineLevel="1" x14ac:dyDescent="0.25">
      <c r="A49" s="81" t="s">
        <v>662</v>
      </c>
      <c r="B49" s="50">
        <v>2</v>
      </c>
    </row>
    <row r="50" spans="1:2" outlineLevel="1" x14ac:dyDescent="0.25">
      <c r="A50" s="81" t="s">
        <v>663</v>
      </c>
      <c r="B50" s="50">
        <v>2</v>
      </c>
    </row>
    <row r="51" spans="1:2" outlineLevel="1" x14ac:dyDescent="0.25">
      <c r="A51" s="81" t="s">
        <v>479</v>
      </c>
      <c r="B51" s="50">
        <v>2</v>
      </c>
    </row>
    <row r="52" spans="1:2" outlineLevel="1" x14ac:dyDescent="0.25">
      <c r="A52" s="81" t="s">
        <v>480</v>
      </c>
      <c r="B52" s="50">
        <v>2</v>
      </c>
    </row>
    <row r="53" spans="1:2" outlineLevel="1" x14ac:dyDescent="0.25">
      <c r="A53" s="81" t="s">
        <v>381</v>
      </c>
      <c r="B53" s="50">
        <v>2</v>
      </c>
    </row>
    <row r="54" spans="1:2" outlineLevel="1" x14ac:dyDescent="0.25">
      <c r="A54" s="81" t="s">
        <v>668</v>
      </c>
      <c r="B54" s="50">
        <v>2</v>
      </c>
    </row>
    <row r="55" spans="1:2" outlineLevel="1" x14ac:dyDescent="0.25">
      <c r="A55" s="81" t="s">
        <v>386</v>
      </c>
      <c r="B55" s="50">
        <v>2</v>
      </c>
    </row>
    <row r="56" spans="1:2" outlineLevel="1" x14ac:dyDescent="0.25">
      <c r="A56" s="81" t="s">
        <v>390</v>
      </c>
      <c r="B56" s="50">
        <v>2</v>
      </c>
    </row>
    <row r="57" spans="1:2" outlineLevel="1" x14ac:dyDescent="0.25">
      <c r="A57" s="81" t="s">
        <v>665</v>
      </c>
      <c r="B57" s="50">
        <v>2</v>
      </c>
    </row>
    <row r="58" spans="1:2" outlineLevel="1" x14ac:dyDescent="0.25">
      <c r="A58" s="81" t="s">
        <v>393</v>
      </c>
      <c r="B58" s="50">
        <v>2</v>
      </c>
    </row>
    <row r="59" spans="1:2" outlineLevel="1" x14ac:dyDescent="0.25">
      <c r="A59" s="81" t="s">
        <v>385</v>
      </c>
      <c r="B59" s="50">
        <v>2</v>
      </c>
    </row>
    <row r="60" spans="1:2" outlineLevel="1" x14ac:dyDescent="0.25">
      <c r="A60" s="82" t="s">
        <v>818</v>
      </c>
      <c r="B60">
        <v>2</v>
      </c>
    </row>
    <row r="61" spans="1:2" outlineLevel="1" x14ac:dyDescent="0.25">
      <c r="A61" s="81" t="s">
        <v>667</v>
      </c>
      <c r="B61" s="50">
        <v>2</v>
      </c>
    </row>
    <row r="62" spans="1:2" outlineLevel="1" x14ac:dyDescent="0.25">
      <c r="A62" s="81" t="s">
        <v>666</v>
      </c>
      <c r="B62" s="50">
        <v>2</v>
      </c>
    </row>
    <row r="63" spans="1:2" outlineLevel="1" x14ac:dyDescent="0.25">
      <c r="A63" s="82" t="s">
        <v>820</v>
      </c>
      <c r="B63">
        <v>3</v>
      </c>
    </row>
    <row r="64" spans="1:2" outlineLevel="1" x14ac:dyDescent="0.25">
      <c r="A64" s="82" t="s">
        <v>821</v>
      </c>
      <c r="B64">
        <v>3</v>
      </c>
    </row>
    <row r="65" spans="1:2" outlineLevel="1" x14ac:dyDescent="0.25">
      <c r="A65" s="82" t="s">
        <v>822</v>
      </c>
      <c r="B65">
        <v>3</v>
      </c>
    </row>
    <row r="66" spans="1:2" outlineLevel="1" x14ac:dyDescent="0.25">
      <c r="A66" s="82" t="s">
        <v>823</v>
      </c>
      <c r="B66">
        <v>3</v>
      </c>
    </row>
    <row r="67" spans="1:2" outlineLevel="1" x14ac:dyDescent="0.25">
      <c r="A67" s="82" t="s">
        <v>824</v>
      </c>
      <c r="B67">
        <v>3</v>
      </c>
    </row>
    <row r="68" spans="1:2" outlineLevel="1" x14ac:dyDescent="0.25">
      <c r="A68" s="82" t="s">
        <v>825</v>
      </c>
      <c r="B68">
        <v>3</v>
      </c>
    </row>
    <row r="69" spans="1:2" outlineLevel="1" x14ac:dyDescent="0.25">
      <c r="A69" s="82" t="s">
        <v>826</v>
      </c>
      <c r="B69">
        <v>3</v>
      </c>
    </row>
    <row r="70" spans="1:2" outlineLevel="1" x14ac:dyDescent="0.25">
      <c r="A70" s="82" t="s">
        <v>827</v>
      </c>
      <c r="B70">
        <v>3</v>
      </c>
    </row>
    <row r="71" spans="1:2" outlineLevel="1" x14ac:dyDescent="0.25">
      <c r="A71" s="82" t="s">
        <v>828</v>
      </c>
      <c r="B71">
        <v>3</v>
      </c>
    </row>
    <row r="72" spans="1:2" outlineLevel="1" x14ac:dyDescent="0.25">
      <c r="A72" s="82" t="s">
        <v>829</v>
      </c>
      <c r="B72">
        <v>3</v>
      </c>
    </row>
    <row r="73" spans="1:2" outlineLevel="1" x14ac:dyDescent="0.25">
      <c r="A73" s="82" t="s">
        <v>830</v>
      </c>
      <c r="B73">
        <v>3</v>
      </c>
    </row>
    <row r="74" spans="1:2" outlineLevel="1" x14ac:dyDescent="0.25">
      <c r="A74" s="82" t="s">
        <v>831</v>
      </c>
      <c r="B74">
        <v>3</v>
      </c>
    </row>
    <row r="75" spans="1:2" outlineLevel="1" x14ac:dyDescent="0.25">
      <c r="A75" s="82" t="s">
        <v>832</v>
      </c>
      <c r="B75">
        <v>3</v>
      </c>
    </row>
    <row r="76" spans="1:2" outlineLevel="1" x14ac:dyDescent="0.25">
      <c r="A76" s="82" t="s">
        <v>833</v>
      </c>
      <c r="B76">
        <v>3</v>
      </c>
    </row>
    <row r="77" spans="1:2" outlineLevel="1" x14ac:dyDescent="0.25">
      <c r="A77" s="82" t="s">
        <v>834</v>
      </c>
      <c r="B77">
        <v>3</v>
      </c>
    </row>
    <row r="78" spans="1:2" outlineLevel="1" x14ac:dyDescent="0.25">
      <c r="A78" s="82" t="s">
        <v>835</v>
      </c>
      <c r="B78">
        <v>3</v>
      </c>
    </row>
    <row r="79" spans="1:2" outlineLevel="1" x14ac:dyDescent="0.25">
      <c r="A79" s="82" t="s">
        <v>836</v>
      </c>
      <c r="B79">
        <v>3</v>
      </c>
    </row>
    <row r="80" spans="1:2" outlineLevel="1" x14ac:dyDescent="0.25">
      <c r="A80" s="82" t="s">
        <v>837</v>
      </c>
      <c r="B80">
        <v>3</v>
      </c>
    </row>
    <row r="81" spans="1:2" outlineLevel="1" x14ac:dyDescent="0.25">
      <c r="A81" s="82" t="s">
        <v>838</v>
      </c>
      <c r="B81">
        <v>3</v>
      </c>
    </row>
    <row r="82" spans="1:2" outlineLevel="1" x14ac:dyDescent="0.25">
      <c r="A82" s="82" t="s">
        <v>839</v>
      </c>
      <c r="B82">
        <v>3</v>
      </c>
    </row>
    <row r="83" spans="1:2" outlineLevel="1" x14ac:dyDescent="0.25">
      <c r="A83" s="82" t="s">
        <v>840</v>
      </c>
      <c r="B83">
        <v>3</v>
      </c>
    </row>
    <row r="84" spans="1:2" outlineLevel="1" x14ac:dyDescent="0.25">
      <c r="A84" s="82" t="s">
        <v>841</v>
      </c>
      <c r="B84">
        <v>3</v>
      </c>
    </row>
    <row r="85" spans="1:2" outlineLevel="1" x14ac:dyDescent="0.25">
      <c r="A85" s="82" t="s">
        <v>842</v>
      </c>
      <c r="B85">
        <v>3</v>
      </c>
    </row>
    <row r="86" spans="1:2" outlineLevel="1" x14ac:dyDescent="0.25">
      <c r="A86" s="81" t="s">
        <v>387</v>
      </c>
      <c r="B86" s="50">
        <v>3</v>
      </c>
    </row>
    <row r="87" spans="1:2" outlineLevel="1" x14ac:dyDescent="0.25">
      <c r="A87" s="81" t="s">
        <v>664</v>
      </c>
      <c r="B87" s="50">
        <v>3</v>
      </c>
    </row>
    <row r="88" spans="1:2" outlineLevel="1" x14ac:dyDescent="0.25">
      <c r="A88" s="82" t="s">
        <v>816</v>
      </c>
      <c r="B88">
        <v>3</v>
      </c>
    </row>
    <row r="89" spans="1:2" outlineLevel="1" x14ac:dyDescent="0.25">
      <c r="A89" s="82" t="s">
        <v>817</v>
      </c>
      <c r="B89">
        <v>3</v>
      </c>
    </row>
    <row r="90" spans="1:2" outlineLevel="1" x14ac:dyDescent="0.25">
      <c r="A90" s="82" t="s">
        <v>815</v>
      </c>
      <c r="B90">
        <v>3</v>
      </c>
    </row>
    <row r="91" spans="1:2" outlineLevel="1" x14ac:dyDescent="0.25">
      <c r="A91" s="81" t="s">
        <v>811</v>
      </c>
      <c r="B91" s="50">
        <v>3</v>
      </c>
    </row>
    <row r="92" spans="1:2" outlineLevel="1" x14ac:dyDescent="0.25">
      <c r="A92" s="81" t="s">
        <v>855</v>
      </c>
      <c r="B92" s="50">
        <v>3</v>
      </c>
    </row>
    <row r="93" spans="1:2" outlineLevel="1" x14ac:dyDescent="0.25">
      <c r="A93" s="82" t="s">
        <v>813</v>
      </c>
      <c r="B93" s="2">
        <v>3</v>
      </c>
    </row>
    <row r="94" spans="1:2" outlineLevel="1" x14ac:dyDescent="0.25">
      <c r="A94" s="81" t="s">
        <v>777</v>
      </c>
      <c r="B94" s="50">
        <v>3</v>
      </c>
    </row>
    <row r="95" spans="1:2" outlineLevel="1" x14ac:dyDescent="0.25">
      <c r="A95" s="81" t="s">
        <v>503</v>
      </c>
      <c r="B95" s="50">
        <v>3</v>
      </c>
    </row>
    <row r="96" spans="1:2" outlineLevel="1" x14ac:dyDescent="0.25">
      <c r="A96" s="81" t="s">
        <v>669</v>
      </c>
      <c r="B96" s="50">
        <v>3</v>
      </c>
    </row>
    <row r="97" spans="1:2" outlineLevel="1" x14ac:dyDescent="0.25">
      <c r="A97" s="81" t="s">
        <v>401</v>
      </c>
      <c r="B97" s="50">
        <v>1</v>
      </c>
    </row>
    <row r="98" spans="1:2" outlineLevel="1" x14ac:dyDescent="0.25">
      <c r="A98" s="81" t="s">
        <v>400</v>
      </c>
      <c r="B98" s="50">
        <v>1</v>
      </c>
    </row>
    <row r="99" spans="1:2" outlineLevel="1" x14ac:dyDescent="0.25">
      <c r="A99" s="81" t="s">
        <v>399</v>
      </c>
      <c r="B99" s="50">
        <v>1</v>
      </c>
    </row>
    <row r="100" spans="1:2" outlineLevel="1" x14ac:dyDescent="0.25">
      <c r="A100" s="81" t="s">
        <v>674</v>
      </c>
      <c r="B100" s="50">
        <v>1</v>
      </c>
    </row>
    <row r="101" spans="1:2" outlineLevel="1" x14ac:dyDescent="0.25">
      <c r="A101" s="81" t="s">
        <v>896</v>
      </c>
      <c r="B101" s="50">
        <v>1</v>
      </c>
    </row>
    <row r="102" spans="1:2" outlineLevel="1" x14ac:dyDescent="0.25">
      <c r="A102" s="81" t="s">
        <v>675</v>
      </c>
      <c r="B102" s="50">
        <v>1</v>
      </c>
    </row>
    <row r="103" spans="1:2" outlineLevel="1" x14ac:dyDescent="0.25">
      <c r="A103" s="81" t="s">
        <v>397</v>
      </c>
      <c r="B103" s="50">
        <v>1</v>
      </c>
    </row>
    <row r="104" spans="1:2" outlineLevel="1" x14ac:dyDescent="0.25">
      <c r="A104" s="81" t="s">
        <v>402</v>
      </c>
      <c r="B104" s="50">
        <v>2</v>
      </c>
    </row>
    <row r="105" spans="1:2" outlineLevel="1" x14ac:dyDescent="0.25">
      <c r="A105" s="81" t="s">
        <v>676</v>
      </c>
      <c r="B105" s="50">
        <v>2</v>
      </c>
    </row>
    <row r="106" spans="1:2" outlineLevel="1" x14ac:dyDescent="0.25">
      <c r="A106" s="81" t="s">
        <v>398</v>
      </c>
      <c r="B106" s="50">
        <v>2</v>
      </c>
    </row>
    <row r="107" spans="1:2" outlineLevel="1" x14ac:dyDescent="0.25">
      <c r="A107" s="81" t="s">
        <v>853</v>
      </c>
      <c r="B107" s="2">
        <v>3</v>
      </c>
    </row>
    <row r="108" spans="1:2" outlineLevel="1" x14ac:dyDescent="0.25">
      <c r="A108" s="81" t="s">
        <v>671</v>
      </c>
      <c r="B108" s="50">
        <v>4</v>
      </c>
    </row>
    <row r="109" spans="1:2" outlineLevel="1" x14ac:dyDescent="0.25">
      <c r="A109" s="81" t="s">
        <v>672</v>
      </c>
      <c r="B109" s="50">
        <v>4</v>
      </c>
    </row>
    <row r="110" spans="1:2" outlineLevel="1" x14ac:dyDescent="0.25">
      <c r="A110" s="81" t="s">
        <v>673</v>
      </c>
      <c r="B110" s="50">
        <v>4</v>
      </c>
    </row>
    <row r="111" spans="1:2" outlineLevel="1" x14ac:dyDescent="0.25">
      <c r="A111" s="81" t="s">
        <v>670</v>
      </c>
      <c r="B111" s="50">
        <v>4</v>
      </c>
    </row>
    <row r="112" spans="1:2" outlineLevel="1" x14ac:dyDescent="0.25">
      <c r="A112" s="81" t="s">
        <v>38</v>
      </c>
      <c r="B112" s="50">
        <v>1</v>
      </c>
    </row>
    <row r="113" spans="1:2" outlineLevel="1" x14ac:dyDescent="0.25">
      <c r="A113" s="81" t="s">
        <v>41</v>
      </c>
      <c r="B113" s="50">
        <v>1</v>
      </c>
    </row>
    <row r="114" spans="1:2" outlineLevel="1" x14ac:dyDescent="0.25">
      <c r="A114" s="81" t="s">
        <v>37</v>
      </c>
      <c r="B114" s="50">
        <v>1</v>
      </c>
    </row>
    <row r="115" spans="1:2" outlineLevel="1" x14ac:dyDescent="0.25">
      <c r="A115" s="81" t="s">
        <v>856</v>
      </c>
      <c r="B115" s="50">
        <v>1</v>
      </c>
    </row>
    <row r="116" spans="1:2" outlineLevel="1" x14ac:dyDescent="0.25">
      <c r="A116" s="81" t="s">
        <v>39</v>
      </c>
      <c r="B116" s="50">
        <v>1</v>
      </c>
    </row>
    <row r="117" spans="1:2" outlineLevel="1" x14ac:dyDescent="0.25">
      <c r="A117" s="81" t="s">
        <v>403</v>
      </c>
      <c r="B117" s="50">
        <v>1</v>
      </c>
    </row>
    <row r="118" spans="1:2" outlineLevel="1" x14ac:dyDescent="0.25">
      <c r="A118" s="81" t="s">
        <v>406</v>
      </c>
      <c r="B118" s="50">
        <v>1</v>
      </c>
    </row>
    <row r="119" spans="1:2" outlineLevel="1" x14ac:dyDescent="0.25">
      <c r="A119" s="81" t="s">
        <v>405</v>
      </c>
      <c r="B119" s="50">
        <v>1</v>
      </c>
    </row>
    <row r="120" spans="1:2" outlineLevel="1" x14ac:dyDescent="0.25">
      <c r="A120" s="81" t="s">
        <v>40</v>
      </c>
      <c r="B120" s="50">
        <v>2</v>
      </c>
    </row>
    <row r="121" spans="1:2" outlineLevel="1" x14ac:dyDescent="0.25">
      <c r="A121" s="81" t="s">
        <v>42</v>
      </c>
      <c r="B121" s="50">
        <v>2</v>
      </c>
    </row>
    <row r="122" spans="1:2" outlineLevel="1" x14ac:dyDescent="0.25">
      <c r="A122" s="81" t="s">
        <v>562</v>
      </c>
      <c r="B122" s="50">
        <v>2</v>
      </c>
    </row>
    <row r="123" spans="1:2" outlineLevel="1" x14ac:dyDescent="0.25">
      <c r="A123" s="81" t="s">
        <v>320</v>
      </c>
      <c r="B123" s="50">
        <v>3</v>
      </c>
    </row>
    <row r="124" spans="1:2" outlineLevel="1" x14ac:dyDescent="0.25">
      <c r="A124" s="81" t="s">
        <v>321</v>
      </c>
      <c r="B124" s="50">
        <v>3</v>
      </c>
    </row>
    <row r="125" spans="1:2" outlineLevel="1" x14ac:dyDescent="0.25">
      <c r="A125" s="81" t="s">
        <v>322</v>
      </c>
      <c r="B125" s="50">
        <v>3</v>
      </c>
    </row>
    <row r="126" spans="1:2" outlineLevel="1" x14ac:dyDescent="0.25">
      <c r="A126" s="81" t="s">
        <v>323</v>
      </c>
      <c r="B126" s="50">
        <v>3</v>
      </c>
    </row>
    <row r="127" spans="1:2" outlineLevel="1" x14ac:dyDescent="0.25">
      <c r="A127" s="81" t="s">
        <v>43</v>
      </c>
      <c r="B127" s="50">
        <v>3</v>
      </c>
    </row>
    <row r="128" spans="1:2" outlineLevel="1" x14ac:dyDescent="0.25">
      <c r="A128" s="81" t="s">
        <v>44</v>
      </c>
      <c r="B128" s="50">
        <v>3</v>
      </c>
    </row>
    <row r="129" spans="1:2" outlineLevel="1" x14ac:dyDescent="0.25">
      <c r="A129" s="81" t="s">
        <v>46</v>
      </c>
      <c r="B129" s="50">
        <v>1</v>
      </c>
    </row>
    <row r="130" spans="1:2" outlineLevel="1" x14ac:dyDescent="0.25">
      <c r="A130" s="81" t="s">
        <v>47</v>
      </c>
      <c r="B130" s="50">
        <v>1</v>
      </c>
    </row>
    <row r="131" spans="1:2" outlineLevel="1" x14ac:dyDescent="0.25">
      <c r="A131" s="81" t="s">
        <v>353</v>
      </c>
      <c r="B131" s="50">
        <v>1</v>
      </c>
    </row>
    <row r="132" spans="1:2" outlineLevel="1" x14ac:dyDescent="0.25">
      <c r="A132" s="81" t="s">
        <v>45</v>
      </c>
      <c r="B132" s="50">
        <v>1</v>
      </c>
    </row>
    <row r="133" spans="1:2" outlineLevel="1" x14ac:dyDescent="0.25">
      <c r="A133" s="81" t="s">
        <v>53</v>
      </c>
      <c r="B133" s="50">
        <v>1</v>
      </c>
    </row>
    <row r="134" spans="1:2" outlineLevel="1" x14ac:dyDescent="0.25">
      <c r="A134" s="81" t="s">
        <v>481</v>
      </c>
      <c r="B134" s="50">
        <v>1</v>
      </c>
    </row>
    <row r="135" spans="1:2" outlineLevel="1" x14ac:dyDescent="0.25">
      <c r="A135" s="81" t="s">
        <v>48</v>
      </c>
      <c r="B135" s="50">
        <v>1</v>
      </c>
    </row>
    <row r="136" spans="1:2" outlineLevel="1" x14ac:dyDescent="0.25">
      <c r="A136" s="81" t="s">
        <v>54</v>
      </c>
      <c r="B136" s="50">
        <v>1</v>
      </c>
    </row>
    <row r="137" spans="1:2" outlineLevel="1" x14ac:dyDescent="0.25">
      <c r="A137" s="81" t="s">
        <v>55</v>
      </c>
      <c r="B137" s="50">
        <v>1</v>
      </c>
    </row>
    <row r="138" spans="1:2" outlineLevel="1" x14ac:dyDescent="0.25">
      <c r="A138" s="81" t="s">
        <v>56</v>
      </c>
      <c r="B138" s="50">
        <v>1</v>
      </c>
    </row>
    <row r="139" spans="1:2" outlineLevel="1" x14ac:dyDescent="0.25">
      <c r="A139" s="81" t="s">
        <v>57</v>
      </c>
      <c r="B139" s="50">
        <v>1</v>
      </c>
    </row>
    <row r="140" spans="1:2" outlineLevel="1" x14ac:dyDescent="0.25">
      <c r="A140" s="81" t="s">
        <v>404</v>
      </c>
      <c r="B140" s="50">
        <v>2</v>
      </c>
    </row>
    <row r="141" spans="1:2" outlineLevel="1" x14ac:dyDescent="0.25">
      <c r="A141" s="81" t="s">
        <v>347</v>
      </c>
      <c r="B141" s="50">
        <v>2</v>
      </c>
    </row>
    <row r="142" spans="1:2" outlineLevel="1" x14ac:dyDescent="0.25">
      <c r="A142" s="81" t="s">
        <v>348</v>
      </c>
      <c r="B142" s="50">
        <v>2</v>
      </c>
    </row>
    <row r="143" spans="1:2" outlineLevel="1" x14ac:dyDescent="0.25">
      <c r="A143" s="81" t="s">
        <v>60</v>
      </c>
      <c r="B143" s="50">
        <v>2</v>
      </c>
    </row>
    <row r="144" spans="1:2" outlineLevel="1" x14ac:dyDescent="0.25">
      <c r="A144" s="81" t="s">
        <v>59</v>
      </c>
      <c r="B144" s="50">
        <v>2</v>
      </c>
    </row>
    <row r="145" spans="1:2" outlineLevel="1" x14ac:dyDescent="0.25">
      <c r="A145" s="81" t="s">
        <v>58</v>
      </c>
      <c r="B145" s="50">
        <v>2</v>
      </c>
    </row>
    <row r="146" spans="1:2" outlineLevel="1" x14ac:dyDescent="0.25">
      <c r="A146" s="81" t="s">
        <v>61</v>
      </c>
      <c r="B146" s="50">
        <v>2</v>
      </c>
    </row>
    <row r="147" spans="1:2" outlineLevel="1" x14ac:dyDescent="0.25">
      <c r="A147" s="81" t="s">
        <v>68</v>
      </c>
      <c r="B147" s="50">
        <v>2</v>
      </c>
    </row>
    <row r="148" spans="1:2" outlineLevel="1" x14ac:dyDescent="0.25">
      <c r="A148" s="81" t="s">
        <v>62</v>
      </c>
      <c r="B148" s="50">
        <v>2</v>
      </c>
    </row>
    <row r="149" spans="1:2" outlineLevel="1" x14ac:dyDescent="0.25">
      <c r="A149" s="81" t="s">
        <v>63</v>
      </c>
      <c r="B149" s="50">
        <v>2</v>
      </c>
    </row>
    <row r="150" spans="1:2" outlineLevel="1" x14ac:dyDescent="0.25">
      <c r="A150" s="81" t="s">
        <v>857</v>
      </c>
      <c r="B150" s="50">
        <v>3</v>
      </c>
    </row>
    <row r="151" spans="1:2" outlineLevel="1" x14ac:dyDescent="0.25">
      <c r="A151" s="81" t="s">
        <v>64</v>
      </c>
      <c r="B151" s="50">
        <v>3</v>
      </c>
    </row>
    <row r="152" spans="1:2" outlineLevel="1" x14ac:dyDescent="0.25">
      <c r="A152" s="81" t="s">
        <v>858</v>
      </c>
      <c r="B152" s="50">
        <v>3</v>
      </c>
    </row>
    <row r="153" spans="1:2" outlineLevel="1" x14ac:dyDescent="0.25">
      <c r="A153" s="81" t="s">
        <v>67</v>
      </c>
      <c r="B153" s="50">
        <v>3</v>
      </c>
    </row>
    <row r="154" spans="1:2" outlineLevel="1" x14ac:dyDescent="0.25">
      <c r="A154" s="81" t="s">
        <v>66</v>
      </c>
      <c r="B154" s="50">
        <v>3</v>
      </c>
    </row>
    <row r="155" spans="1:2" outlineLevel="1" x14ac:dyDescent="0.25">
      <c r="A155" s="81" t="s">
        <v>65</v>
      </c>
      <c r="B155" s="50">
        <v>3</v>
      </c>
    </row>
    <row r="156" spans="1:2" outlineLevel="1" x14ac:dyDescent="0.25">
      <c r="A156" s="81" t="s">
        <v>859</v>
      </c>
      <c r="B156" s="50">
        <v>3</v>
      </c>
    </row>
    <row r="157" spans="1:2" outlineLevel="1" x14ac:dyDescent="0.25">
      <c r="A157" s="81" t="s">
        <v>69</v>
      </c>
      <c r="B157" s="50">
        <v>1</v>
      </c>
    </row>
    <row r="158" spans="1:2" outlineLevel="1" x14ac:dyDescent="0.25">
      <c r="A158" s="81" t="s">
        <v>860</v>
      </c>
      <c r="B158" s="50">
        <v>1</v>
      </c>
    </row>
    <row r="159" spans="1:2" outlineLevel="1" x14ac:dyDescent="0.25">
      <c r="A159" s="81" t="s">
        <v>721</v>
      </c>
      <c r="B159" s="50">
        <v>1</v>
      </c>
    </row>
    <row r="160" spans="1:2" outlineLevel="1" x14ac:dyDescent="0.25">
      <c r="A160" s="81" t="s">
        <v>70</v>
      </c>
      <c r="B160" s="50">
        <v>1</v>
      </c>
    </row>
    <row r="161" spans="1:2" outlineLevel="1" x14ac:dyDescent="0.25">
      <c r="A161" s="81" t="s">
        <v>71</v>
      </c>
      <c r="B161" s="50">
        <v>2</v>
      </c>
    </row>
    <row r="162" spans="1:2" outlineLevel="1" x14ac:dyDescent="0.25">
      <c r="A162" s="81" t="s">
        <v>74</v>
      </c>
      <c r="B162" s="50">
        <v>2</v>
      </c>
    </row>
    <row r="163" spans="1:2" outlineLevel="1" x14ac:dyDescent="0.25">
      <c r="A163" s="81" t="s">
        <v>73</v>
      </c>
      <c r="B163" s="50">
        <v>2</v>
      </c>
    </row>
    <row r="164" spans="1:2" outlineLevel="1" x14ac:dyDescent="0.25">
      <c r="A164" s="81" t="s">
        <v>72</v>
      </c>
      <c r="B164" s="50">
        <v>2</v>
      </c>
    </row>
    <row r="165" spans="1:2" outlineLevel="1" x14ac:dyDescent="0.25">
      <c r="A165" s="81" t="s">
        <v>75</v>
      </c>
      <c r="B165" s="50">
        <v>3</v>
      </c>
    </row>
    <row r="166" spans="1:2" outlineLevel="1" x14ac:dyDescent="0.25">
      <c r="A166" s="81" t="s">
        <v>76</v>
      </c>
      <c r="B166" s="50">
        <v>1</v>
      </c>
    </row>
    <row r="167" spans="1:2" outlineLevel="1" x14ac:dyDescent="0.25">
      <c r="A167" s="81" t="s">
        <v>861</v>
      </c>
      <c r="B167" s="50">
        <v>1</v>
      </c>
    </row>
    <row r="168" spans="1:2" outlineLevel="1" x14ac:dyDescent="0.25">
      <c r="A168" s="81" t="s">
        <v>77</v>
      </c>
      <c r="B168" s="50">
        <v>2</v>
      </c>
    </row>
    <row r="169" spans="1:2" outlineLevel="1" x14ac:dyDescent="0.25">
      <c r="A169" s="81" t="s">
        <v>482</v>
      </c>
      <c r="B169" s="50">
        <v>2</v>
      </c>
    </row>
    <row r="170" spans="1:2" outlineLevel="1" x14ac:dyDescent="0.25">
      <c r="A170" s="81" t="s">
        <v>635</v>
      </c>
      <c r="B170" s="50">
        <v>2</v>
      </c>
    </row>
    <row r="171" spans="1:2" outlineLevel="1" x14ac:dyDescent="0.25">
      <c r="A171" s="81" t="s">
        <v>483</v>
      </c>
      <c r="B171" s="50">
        <v>2</v>
      </c>
    </row>
    <row r="172" spans="1:2" outlineLevel="1" x14ac:dyDescent="0.25">
      <c r="A172" s="81" t="s">
        <v>485</v>
      </c>
      <c r="B172" s="50">
        <v>2</v>
      </c>
    </row>
    <row r="173" spans="1:2" outlineLevel="1" x14ac:dyDescent="0.25">
      <c r="A173" s="81" t="s">
        <v>78</v>
      </c>
      <c r="B173" s="50">
        <v>3</v>
      </c>
    </row>
    <row r="174" spans="1:2" outlineLevel="1" x14ac:dyDescent="0.25">
      <c r="A174" s="81" t="s">
        <v>486</v>
      </c>
      <c r="B174" s="50">
        <v>3</v>
      </c>
    </row>
    <row r="175" spans="1:2" outlineLevel="1" x14ac:dyDescent="0.25">
      <c r="A175" s="81" t="s">
        <v>484</v>
      </c>
      <c r="B175" s="50">
        <v>3</v>
      </c>
    </row>
    <row r="176" spans="1:2" outlineLevel="1" x14ac:dyDescent="0.25">
      <c r="A176" s="81" t="s">
        <v>79</v>
      </c>
      <c r="B176" s="50">
        <v>3</v>
      </c>
    </row>
    <row r="177" spans="1:2" outlineLevel="1" x14ac:dyDescent="0.25">
      <c r="A177" s="81" t="s">
        <v>254</v>
      </c>
      <c r="B177" s="50">
        <v>1</v>
      </c>
    </row>
    <row r="178" spans="1:2" outlineLevel="1" x14ac:dyDescent="0.25">
      <c r="A178" s="81" t="s">
        <v>255</v>
      </c>
      <c r="B178" s="50">
        <v>1</v>
      </c>
    </row>
    <row r="179" spans="1:2" outlineLevel="1" x14ac:dyDescent="0.25">
      <c r="A179" s="81" t="s">
        <v>253</v>
      </c>
      <c r="B179" s="50">
        <v>1</v>
      </c>
    </row>
    <row r="180" spans="1:2" outlineLevel="1" x14ac:dyDescent="0.25">
      <c r="A180" s="81" t="s">
        <v>256</v>
      </c>
      <c r="B180" s="50">
        <v>1</v>
      </c>
    </row>
    <row r="181" spans="1:2" outlineLevel="1" x14ac:dyDescent="0.25">
      <c r="A181" s="81" t="s">
        <v>251</v>
      </c>
      <c r="B181" s="50">
        <v>2</v>
      </c>
    </row>
    <row r="182" spans="1:2" outlineLevel="1" x14ac:dyDescent="0.25">
      <c r="A182" s="81" t="s">
        <v>250</v>
      </c>
      <c r="B182" s="50">
        <v>2</v>
      </c>
    </row>
    <row r="183" spans="1:2" outlineLevel="1" x14ac:dyDescent="0.25">
      <c r="A183" s="81" t="s">
        <v>506</v>
      </c>
      <c r="B183" s="50">
        <v>2</v>
      </c>
    </row>
    <row r="184" spans="1:2" outlineLevel="1" x14ac:dyDescent="0.25">
      <c r="A184" s="83" t="s">
        <v>749</v>
      </c>
      <c r="B184" s="2">
        <v>2</v>
      </c>
    </row>
    <row r="185" spans="1:2" outlineLevel="1" x14ac:dyDescent="0.25">
      <c r="A185" s="81" t="s">
        <v>922</v>
      </c>
      <c r="B185" s="50">
        <v>2</v>
      </c>
    </row>
    <row r="186" spans="1:2" outlineLevel="1" x14ac:dyDescent="0.25">
      <c r="A186" s="81" t="s">
        <v>80</v>
      </c>
      <c r="B186" s="50">
        <v>3</v>
      </c>
    </row>
    <row r="187" spans="1:2" outlineLevel="1" x14ac:dyDescent="0.25">
      <c r="A187" s="81" t="s">
        <v>82</v>
      </c>
      <c r="B187" s="50">
        <v>3</v>
      </c>
    </row>
    <row r="188" spans="1:2" outlineLevel="1" x14ac:dyDescent="0.25">
      <c r="A188" s="81" t="s">
        <v>81</v>
      </c>
      <c r="B188" s="50">
        <v>3</v>
      </c>
    </row>
    <row r="189" spans="1:2" outlineLevel="1" x14ac:dyDescent="0.25">
      <c r="A189" s="81" t="s">
        <v>252</v>
      </c>
      <c r="B189" s="50">
        <v>2</v>
      </c>
    </row>
    <row r="190" spans="1:2" outlineLevel="1" x14ac:dyDescent="0.25">
      <c r="A190" s="81" t="s">
        <v>242</v>
      </c>
      <c r="B190" s="50">
        <v>1</v>
      </c>
    </row>
    <row r="191" spans="1:2" outlineLevel="1" x14ac:dyDescent="0.25">
      <c r="A191" s="81" t="s">
        <v>257</v>
      </c>
      <c r="B191" s="50">
        <v>1</v>
      </c>
    </row>
    <row r="192" spans="1:2" outlineLevel="1" x14ac:dyDescent="0.25">
      <c r="A192" s="81" t="s">
        <v>258</v>
      </c>
      <c r="B192" s="50">
        <v>1</v>
      </c>
    </row>
    <row r="193" spans="1:2" outlineLevel="1" x14ac:dyDescent="0.25">
      <c r="A193" s="81" t="s">
        <v>259</v>
      </c>
      <c r="B193" s="50">
        <v>2</v>
      </c>
    </row>
    <row r="194" spans="1:2" outlineLevel="1" x14ac:dyDescent="0.25">
      <c r="A194" s="81" t="s">
        <v>623</v>
      </c>
      <c r="B194" s="50">
        <v>2</v>
      </c>
    </row>
    <row r="195" spans="1:2" outlineLevel="1" x14ac:dyDescent="0.25">
      <c r="A195" s="81" t="s">
        <v>262</v>
      </c>
      <c r="B195" s="50">
        <v>2</v>
      </c>
    </row>
    <row r="196" spans="1:2" outlineLevel="1" x14ac:dyDescent="0.25">
      <c r="A196" s="81" t="s">
        <v>260</v>
      </c>
      <c r="B196" s="50">
        <v>3</v>
      </c>
    </row>
    <row r="197" spans="1:2" outlineLevel="1" x14ac:dyDescent="0.25">
      <c r="A197" s="81" t="s">
        <v>862</v>
      </c>
      <c r="B197" s="50">
        <v>1</v>
      </c>
    </row>
    <row r="198" spans="1:2" outlineLevel="1" x14ac:dyDescent="0.25">
      <c r="A198" s="81" t="s">
        <v>325</v>
      </c>
      <c r="B198" s="50">
        <v>1</v>
      </c>
    </row>
    <row r="199" spans="1:2" outlineLevel="1" x14ac:dyDescent="0.25">
      <c r="A199" s="81" t="s">
        <v>751</v>
      </c>
      <c r="B199" s="50">
        <v>1</v>
      </c>
    </row>
    <row r="200" spans="1:2" outlineLevel="1" x14ac:dyDescent="0.25">
      <c r="A200" s="81" t="s">
        <v>266</v>
      </c>
      <c r="B200" s="50">
        <v>1</v>
      </c>
    </row>
    <row r="201" spans="1:2" outlineLevel="1" x14ac:dyDescent="0.25">
      <c r="A201" s="81" t="s">
        <v>267</v>
      </c>
      <c r="B201" s="50">
        <v>1</v>
      </c>
    </row>
    <row r="202" spans="1:2" outlineLevel="1" x14ac:dyDescent="0.25">
      <c r="A202" s="81" t="s">
        <v>265</v>
      </c>
      <c r="B202" s="50">
        <v>1</v>
      </c>
    </row>
    <row r="203" spans="1:2" outlineLevel="1" x14ac:dyDescent="0.25">
      <c r="A203" s="81" t="s">
        <v>326</v>
      </c>
      <c r="B203" s="50">
        <v>1</v>
      </c>
    </row>
    <row r="204" spans="1:2" outlineLevel="1" x14ac:dyDescent="0.25">
      <c r="A204" s="81" t="s">
        <v>487</v>
      </c>
      <c r="B204" s="50">
        <v>1</v>
      </c>
    </row>
    <row r="205" spans="1:2" outlineLevel="1" x14ac:dyDescent="0.25">
      <c r="A205" s="81" t="s">
        <v>637</v>
      </c>
      <c r="B205" s="50">
        <v>1</v>
      </c>
    </row>
    <row r="206" spans="1:2" outlineLevel="1" x14ac:dyDescent="0.25">
      <c r="A206" s="81" t="s">
        <v>638</v>
      </c>
      <c r="B206" s="50">
        <v>1</v>
      </c>
    </row>
    <row r="207" spans="1:2" outlineLevel="1" x14ac:dyDescent="0.25">
      <c r="A207" s="81" t="s">
        <v>271</v>
      </c>
      <c r="B207" s="50">
        <v>2</v>
      </c>
    </row>
    <row r="208" spans="1:2" outlineLevel="1" x14ac:dyDescent="0.25">
      <c r="A208" s="81" t="s">
        <v>272</v>
      </c>
      <c r="B208" s="50">
        <v>2</v>
      </c>
    </row>
    <row r="209" spans="1:2" outlineLevel="1" x14ac:dyDescent="0.25">
      <c r="A209" s="81" t="s">
        <v>273</v>
      </c>
      <c r="B209" s="50">
        <v>2</v>
      </c>
    </row>
    <row r="210" spans="1:2" outlineLevel="1" x14ac:dyDescent="0.25">
      <c r="A210" s="81" t="s">
        <v>270</v>
      </c>
      <c r="B210" s="50">
        <v>2</v>
      </c>
    </row>
    <row r="211" spans="1:2" outlineLevel="1" x14ac:dyDescent="0.25">
      <c r="A211" s="81" t="s">
        <v>274</v>
      </c>
      <c r="B211" s="50">
        <v>2</v>
      </c>
    </row>
    <row r="212" spans="1:2" outlineLevel="1" x14ac:dyDescent="0.25">
      <c r="A212" s="81" t="s">
        <v>275</v>
      </c>
      <c r="B212" s="50">
        <v>2</v>
      </c>
    </row>
    <row r="213" spans="1:2" outlineLevel="1" x14ac:dyDescent="0.25">
      <c r="A213" s="81" t="s">
        <v>276</v>
      </c>
      <c r="B213" s="50">
        <v>2</v>
      </c>
    </row>
    <row r="214" spans="1:2" outlineLevel="1" x14ac:dyDescent="0.25">
      <c r="A214" s="81" t="s">
        <v>285</v>
      </c>
      <c r="B214" s="50">
        <v>2</v>
      </c>
    </row>
    <row r="215" spans="1:2" outlineLevel="1" x14ac:dyDescent="0.25">
      <c r="A215" s="81" t="s">
        <v>286</v>
      </c>
      <c r="B215" s="50">
        <v>2</v>
      </c>
    </row>
    <row r="216" spans="1:2" outlineLevel="1" x14ac:dyDescent="0.25">
      <c r="A216" s="81" t="s">
        <v>277</v>
      </c>
      <c r="B216" s="50">
        <v>2</v>
      </c>
    </row>
    <row r="217" spans="1:2" outlineLevel="1" x14ac:dyDescent="0.25">
      <c r="A217" s="81" t="s">
        <v>278</v>
      </c>
      <c r="B217" s="50">
        <v>2</v>
      </c>
    </row>
    <row r="218" spans="1:2" outlineLevel="1" x14ac:dyDescent="0.25">
      <c r="A218" s="81" t="s">
        <v>327</v>
      </c>
      <c r="B218" s="50">
        <v>2</v>
      </c>
    </row>
    <row r="219" spans="1:2" outlineLevel="1" x14ac:dyDescent="0.25">
      <c r="A219" s="81" t="s">
        <v>677</v>
      </c>
      <c r="B219" s="50">
        <v>2</v>
      </c>
    </row>
    <row r="220" spans="1:2" outlineLevel="1" x14ac:dyDescent="0.25">
      <c r="A220" s="81" t="s">
        <v>283</v>
      </c>
      <c r="B220" s="50">
        <v>2</v>
      </c>
    </row>
    <row r="221" spans="1:2" outlineLevel="1" x14ac:dyDescent="0.25">
      <c r="A221" s="81" t="s">
        <v>282</v>
      </c>
      <c r="B221" s="50">
        <v>2</v>
      </c>
    </row>
    <row r="222" spans="1:2" outlineLevel="1" x14ac:dyDescent="0.25">
      <c r="A222" s="81" t="s">
        <v>678</v>
      </c>
      <c r="B222" s="50">
        <v>2</v>
      </c>
    </row>
    <row r="223" spans="1:2" outlineLevel="1" x14ac:dyDescent="0.25">
      <c r="A223" s="81" t="s">
        <v>679</v>
      </c>
      <c r="B223" s="50">
        <v>2</v>
      </c>
    </row>
    <row r="224" spans="1:2" outlineLevel="1" x14ac:dyDescent="0.25">
      <c r="A224" s="81" t="s">
        <v>680</v>
      </c>
      <c r="B224" s="50">
        <v>2</v>
      </c>
    </row>
    <row r="225" spans="1:2" outlineLevel="1" x14ac:dyDescent="0.25">
      <c r="A225" s="81" t="s">
        <v>681</v>
      </c>
      <c r="B225" s="50">
        <v>2</v>
      </c>
    </row>
    <row r="226" spans="1:2" outlineLevel="1" x14ac:dyDescent="0.25">
      <c r="A226" s="81" t="s">
        <v>682</v>
      </c>
      <c r="B226" s="50">
        <v>2</v>
      </c>
    </row>
    <row r="227" spans="1:2" outlineLevel="1" x14ac:dyDescent="0.25">
      <c r="A227" s="81" t="s">
        <v>284</v>
      </c>
      <c r="B227" s="50">
        <v>2</v>
      </c>
    </row>
    <row r="228" spans="1:2" outlineLevel="1" x14ac:dyDescent="0.25">
      <c r="A228" s="81" t="s">
        <v>269</v>
      </c>
      <c r="B228" s="50">
        <v>2</v>
      </c>
    </row>
    <row r="229" spans="1:2" outlineLevel="1" x14ac:dyDescent="0.25">
      <c r="A229" s="81" t="s">
        <v>336</v>
      </c>
      <c r="B229" s="50">
        <v>2</v>
      </c>
    </row>
    <row r="230" spans="1:2" outlineLevel="1" x14ac:dyDescent="0.25">
      <c r="A230" s="81" t="s">
        <v>337</v>
      </c>
      <c r="B230" s="50">
        <v>2</v>
      </c>
    </row>
    <row r="231" spans="1:2" outlineLevel="1" x14ac:dyDescent="0.25">
      <c r="A231" s="81" t="s">
        <v>338</v>
      </c>
      <c r="B231" s="50">
        <v>2</v>
      </c>
    </row>
    <row r="232" spans="1:2" outlineLevel="1" x14ac:dyDescent="0.25">
      <c r="A232" s="81" t="s">
        <v>339</v>
      </c>
      <c r="B232" s="50">
        <v>2</v>
      </c>
    </row>
    <row r="233" spans="1:2" outlineLevel="1" x14ac:dyDescent="0.25">
      <c r="A233" s="81" t="s">
        <v>340</v>
      </c>
      <c r="B233" s="50">
        <v>2</v>
      </c>
    </row>
    <row r="234" spans="1:2" outlineLevel="1" x14ac:dyDescent="0.25">
      <c r="A234" s="81" t="s">
        <v>341</v>
      </c>
      <c r="B234" s="50">
        <v>2</v>
      </c>
    </row>
    <row r="235" spans="1:2" outlineLevel="1" x14ac:dyDescent="0.25">
      <c r="A235" s="81" t="s">
        <v>342</v>
      </c>
      <c r="B235" s="50">
        <v>2</v>
      </c>
    </row>
    <row r="236" spans="1:2" outlineLevel="1" x14ac:dyDescent="0.25">
      <c r="A236" s="81" t="s">
        <v>343</v>
      </c>
      <c r="B236" s="50">
        <v>2</v>
      </c>
    </row>
    <row r="237" spans="1:2" outlineLevel="1" x14ac:dyDescent="0.25">
      <c r="A237" s="81" t="s">
        <v>344</v>
      </c>
      <c r="B237" s="50">
        <v>2</v>
      </c>
    </row>
    <row r="238" spans="1:2" outlineLevel="1" x14ac:dyDescent="0.25">
      <c r="A238" s="81" t="s">
        <v>345</v>
      </c>
      <c r="B238" s="50">
        <v>2</v>
      </c>
    </row>
    <row r="239" spans="1:2" outlineLevel="1" x14ac:dyDescent="0.25">
      <c r="A239" s="81" t="s">
        <v>577</v>
      </c>
      <c r="B239" s="50">
        <v>2</v>
      </c>
    </row>
    <row r="240" spans="1:2" outlineLevel="1" x14ac:dyDescent="0.25">
      <c r="A240" s="81" t="s">
        <v>578</v>
      </c>
      <c r="B240" s="50">
        <v>2</v>
      </c>
    </row>
    <row r="241" spans="1:2" outlineLevel="1" x14ac:dyDescent="0.25">
      <c r="A241" s="81" t="s">
        <v>800</v>
      </c>
      <c r="B241" s="50">
        <v>2</v>
      </c>
    </row>
    <row r="242" spans="1:2" outlineLevel="1" x14ac:dyDescent="0.25">
      <c r="A242" s="81" t="s">
        <v>798</v>
      </c>
      <c r="B242" s="50">
        <v>2</v>
      </c>
    </row>
    <row r="243" spans="1:2" outlineLevel="1" x14ac:dyDescent="0.25">
      <c r="A243" s="81" t="s">
        <v>488</v>
      </c>
      <c r="B243" s="50">
        <v>2</v>
      </c>
    </row>
    <row r="244" spans="1:2" outlineLevel="1" x14ac:dyDescent="0.25">
      <c r="A244" s="81" t="s">
        <v>287</v>
      </c>
      <c r="B244" s="50">
        <v>2</v>
      </c>
    </row>
    <row r="245" spans="1:2" outlineLevel="1" x14ac:dyDescent="0.25">
      <c r="A245" s="81" t="s">
        <v>576</v>
      </c>
      <c r="B245" s="50">
        <v>4</v>
      </c>
    </row>
    <row r="246" spans="1:2" outlineLevel="1" x14ac:dyDescent="0.25">
      <c r="A246" s="81" t="s">
        <v>288</v>
      </c>
      <c r="B246" s="50">
        <v>2</v>
      </c>
    </row>
    <row r="247" spans="1:2" outlineLevel="1" x14ac:dyDescent="0.25">
      <c r="A247" s="81" t="s">
        <v>295</v>
      </c>
      <c r="B247" s="50">
        <v>4</v>
      </c>
    </row>
    <row r="248" spans="1:2" outlineLevel="1" x14ac:dyDescent="0.25">
      <c r="A248" s="81" t="s">
        <v>289</v>
      </c>
      <c r="B248" s="50">
        <v>2</v>
      </c>
    </row>
    <row r="249" spans="1:2" outlineLevel="1" x14ac:dyDescent="0.25">
      <c r="A249" s="81" t="s">
        <v>294</v>
      </c>
      <c r="B249" s="50">
        <v>4</v>
      </c>
    </row>
    <row r="250" spans="1:2" outlineLevel="1" x14ac:dyDescent="0.25">
      <c r="A250" s="81" t="s">
        <v>290</v>
      </c>
      <c r="B250" s="50">
        <v>2</v>
      </c>
    </row>
    <row r="251" spans="1:2" outlineLevel="1" x14ac:dyDescent="0.25">
      <c r="A251" s="81" t="s">
        <v>297</v>
      </c>
      <c r="B251" s="50">
        <v>4</v>
      </c>
    </row>
    <row r="252" spans="1:2" outlineLevel="1" x14ac:dyDescent="0.25">
      <c r="A252" s="81" t="s">
        <v>291</v>
      </c>
      <c r="B252" s="50">
        <v>2</v>
      </c>
    </row>
    <row r="253" spans="1:2" outlineLevel="1" x14ac:dyDescent="0.25">
      <c r="A253" s="81" t="s">
        <v>293</v>
      </c>
      <c r="B253" s="50">
        <v>2</v>
      </c>
    </row>
    <row r="254" spans="1:2" outlineLevel="1" x14ac:dyDescent="0.25">
      <c r="A254" s="81" t="s">
        <v>801</v>
      </c>
      <c r="B254" s="50">
        <v>4</v>
      </c>
    </row>
    <row r="255" spans="1:2" outlineLevel="1" x14ac:dyDescent="0.25">
      <c r="A255" s="81" t="s">
        <v>292</v>
      </c>
      <c r="B255" s="50">
        <v>2</v>
      </c>
    </row>
    <row r="256" spans="1:2" outlineLevel="1" x14ac:dyDescent="0.25">
      <c r="A256" s="81" t="s">
        <v>579</v>
      </c>
      <c r="B256" s="50">
        <v>4</v>
      </c>
    </row>
    <row r="257" spans="1:2" outlineLevel="1" x14ac:dyDescent="0.25">
      <c r="A257" s="81" t="s">
        <v>296</v>
      </c>
      <c r="B257" s="50">
        <v>2</v>
      </c>
    </row>
    <row r="258" spans="1:2" outlineLevel="1" x14ac:dyDescent="0.25">
      <c r="A258" s="81" t="s">
        <v>799</v>
      </c>
      <c r="B258" s="50">
        <v>4</v>
      </c>
    </row>
    <row r="259" spans="1:2" outlineLevel="1" x14ac:dyDescent="0.25">
      <c r="A259" s="81" t="s">
        <v>636</v>
      </c>
      <c r="B259" s="50">
        <v>2</v>
      </c>
    </row>
    <row r="260" spans="1:2" outlineLevel="1" x14ac:dyDescent="0.25">
      <c r="A260" s="81" t="s">
        <v>83</v>
      </c>
      <c r="B260" s="50">
        <v>1</v>
      </c>
    </row>
    <row r="261" spans="1:2" outlineLevel="1" x14ac:dyDescent="0.25">
      <c r="A261" s="81" t="s">
        <v>90</v>
      </c>
      <c r="B261" s="50">
        <v>2</v>
      </c>
    </row>
    <row r="262" spans="1:2" outlineLevel="1" x14ac:dyDescent="0.25">
      <c r="A262" s="81" t="s">
        <v>84</v>
      </c>
      <c r="B262" s="50">
        <v>1</v>
      </c>
    </row>
    <row r="263" spans="1:2" outlineLevel="1" x14ac:dyDescent="0.25">
      <c r="A263" s="81" t="s">
        <v>85</v>
      </c>
      <c r="B263" s="50">
        <v>1</v>
      </c>
    </row>
    <row r="264" spans="1:2" outlineLevel="1" x14ac:dyDescent="0.25">
      <c r="A264" s="81" t="s">
        <v>86</v>
      </c>
      <c r="B264" s="50">
        <v>1</v>
      </c>
    </row>
    <row r="265" spans="1:2" outlineLevel="1" x14ac:dyDescent="0.25">
      <c r="A265" s="81" t="s">
        <v>722</v>
      </c>
      <c r="B265" s="50">
        <v>1</v>
      </c>
    </row>
    <row r="266" spans="1:2" outlineLevel="1" x14ac:dyDescent="0.25">
      <c r="A266" s="81" t="s">
        <v>350</v>
      </c>
      <c r="B266" s="50">
        <v>1</v>
      </c>
    </row>
    <row r="267" spans="1:2" outlineLevel="1" x14ac:dyDescent="0.25">
      <c r="A267" s="81" t="s">
        <v>87</v>
      </c>
      <c r="B267" s="50">
        <v>1</v>
      </c>
    </row>
    <row r="268" spans="1:2" outlineLevel="1" x14ac:dyDescent="0.25">
      <c r="A268" s="81" t="s">
        <v>88</v>
      </c>
      <c r="B268" s="50">
        <v>1</v>
      </c>
    </row>
    <row r="269" spans="1:2" outlineLevel="1" x14ac:dyDescent="0.25">
      <c r="A269" s="81" t="s">
        <v>92</v>
      </c>
      <c r="B269" s="50">
        <v>2</v>
      </c>
    </row>
    <row r="270" spans="1:2" outlineLevel="1" x14ac:dyDescent="0.25">
      <c r="A270" s="81" t="s">
        <v>93</v>
      </c>
      <c r="B270" s="50">
        <v>2</v>
      </c>
    </row>
    <row r="271" spans="1:2" outlineLevel="1" x14ac:dyDescent="0.25">
      <c r="A271" s="81" t="s">
        <v>94</v>
      </c>
      <c r="B271" s="50">
        <v>2</v>
      </c>
    </row>
    <row r="272" spans="1:2" outlineLevel="1" x14ac:dyDescent="0.25">
      <c r="A272" s="81" t="s">
        <v>95</v>
      </c>
      <c r="B272" s="50">
        <v>2</v>
      </c>
    </row>
    <row r="273" spans="1:2" outlineLevel="1" x14ac:dyDescent="0.25">
      <c r="A273" s="81" t="s">
        <v>564</v>
      </c>
      <c r="B273" s="50">
        <v>2</v>
      </c>
    </row>
    <row r="274" spans="1:2" outlineLevel="1" x14ac:dyDescent="0.25">
      <c r="A274" s="81" t="s">
        <v>100</v>
      </c>
      <c r="B274" s="50">
        <v>3</v>
      </c>
    </row>
    <row r="275" spans="1:2" outlineLevel="1" x14ac:dyDescent="0.25">
      <c r="A275" s="81" t="s">
        <v>99</v>
      </c>
      <c r="B275" s="50">
        <v>3</v>
      </c>
    </row>
    <row r="276" spans="1:2" outlineLevel="1" x14ac:dyDescent="0.25">
      <c r="A276" s="81" t="s">
        <v>98</v>
      </c>
      <c r="B276" s="7">
        <v>3</v>
      </c>
    </row>
    <row r="277" spans="1:2" outlineLevel="1" x14ac:dyDescent="0.25">
      <c r="A277" s="81" t="s">
        <v>897</v>
      </c>
      <c r="B277" s="50">
        <v>3</v>
      </c>
    </row>
    <row r="278" spans="1:2" outlineLevel="1" x14ac:dyDescent="0.25">
      <c r="A278" s="81" t="s">
        <v>96</v>
      </c>
      <c r="B278" s="50">
        <v>3</v>
      </c>
    </row>
    <row r="279" spans="1:2" outlineLevel="1" x14ac:dyDescent="0.25">
      <c r="A279" s="81" t="s">
        <v>91</v>
      </c>
      <c r="B279" s="50">
        <v>2</v>
      </c>
    </row>
    <row r="280" spans="1:2" outlineLevel="1" x14ac:dyDescent="0.25">
      <c r="A280" s="81" t="s">
        <v>97</v>
      </c>
      <c r="B280" s="50">
        <v>3</v>
      </c>
    </row>
    <row r="281" spans="1:2" x14ac:dyDescent="0.25">
      <c r="A281" s="81" t="s">
        <v>89</v>
      </c>
      <c r="B281" s="50">
        <v>2</v>
      </c>
    </row>
    <row r="282" spans="1:2" x14ac:dyDescent="0.25">
      <c r="A282" s="102" t="s">
        <v>810</v>
      </c>
      <c r="B282" s="50">
        <v>1</v>
      </c>
    </row>
    <row r="283" spans="1:2" outlineLevel="1" x14ac:dyDescent="0.25">
      <c r="A283" s="81" t="s">
        <v>640</v>
      </c>
      <c r="B283" s="50">
        <v>1</v>
      </c>
    </row>
    <row r="284" spans="1:2" outlineLevel="1" x14ac:dyDescent="0.25">
      <c r="A284" s="81" t="s">
        <v>410</v>
      </c>
      <c r="B284" s="50">
        <v>1</v>
      </c>
    </row>
    <row r="285" spans="1:2" outlineLevel="1" x14ac:dyDescent="0.25">
      <c r="A285" s="81" t="s">
        <v>967</v>
      </c>
      <c r="B285" s="50">
        <v>2</v>
      </c>
    </row>
    <row r="286" spans="1:2" outlineLevel="1" x14ac:dyDescent="0.25">
      <c r="A286" s="81" t="s">
        <v>411</v>
      </c>
      <c r="B286" s="50">
        <v>2</v>
      </c>
    </row>
    <row r="287" spans="1:2" outlineLevel="1" x14ac:dyDescent="0.25">
      <c r="A287" s="81" t="s">
        <v>641</v>
      </c>
      <c r="B287" s="50">
        <v>2</v>
      </c>
    </row>
    <row r="288" spans="1:2" outlineLevel="1" x14ac:dyDescent="0.25">
      <c r="A288" s="81" t="s">
        <v>412</v>
      </c>
      <c r="B288" s="50">
        <v>3</v>
      </c>
    </row>
    <row r="289" spans="1:2" outlineLevel="1" x14ac:dyDescent="0.25">
      <c r="A289" s="81" t="s">
        <v>931</v>
      </c>
      <c r="B289" s="50">
        <v>1</v>
      </c>
    </row>
    <row r="290" spans="1:2" outlineLevel="1" x14ac:dyDescent="0.25">
      <c r="A290" s="81" t="s">
        <v>932</v>
      </c>
      <c r="B290" s="50">
        <v>1</v>
      </c>
    </row>
    <row r="291" spans="1:2" outlineLevel="1" x14ac:dyDescent="0.25">
      <c r="A291" s="81" t="s">
        <v>933</v>
      </c>
      <c r="B291" s="50">
        <v>1</v>
      </c>
    </row>
    <row r="292" spans="1:2" outlineLevel="1" x14ac:dyDescent="0.25">
      <c r="A292" s="81" t="s">
        <v>934</v>
      </c>
      <c r="B292" s="50">
        <v>1</v>
      </c>
    </row>
    <row r="293" spans="1:2" outlineLevel="1" x14ac:dyDescent="0.25">
      <c r="A293" s="81" t="s">
        <v>935</v>
      </c>
      <c r="B293" s="50">
        <v>1</v>
      </c>
    </row>
    <row r="294" spans="1:2" outlineLevel="1" x14ac:dyDescent="0.25">
      <c r="A294" s="81" t="s">
        <v>936</v>
      </c>
      <c r="B294" s="50">
        <v>1</v>
      </c>
    </row>
    <row r="295" spans="1:2" outlineLevel="1" x14ac:dyDescent="0.25">
      <c r="A295" s="81" t="s">
        <v>937</v>
      </c>
      <c r="B295" s="50">
        <v>2</v>
      </c>
    </row>
    <row r="296" spans="1:2" outlineLevel="1" x14ac:dyDescent="0.25">
      <c r="A296" s="81" t="s">
        <v>938</v>
      </c>
      <c r="B296" s="50">
        <v>2</v>
      </c>
    </row>
    <row r="297" spans="1:2" outlineLevel="1" x14ac:dyDescent="0.25">
      <c r="A297" s="81" t="s">
        <v>939</v>
      </c>
      <c r="B297" s="50">
        <v>2</v>
      </c>
    </row>
    <row r="298" spans="1:2" outlineLevel="1" x14ac:dyDescent="0.25">
      <c r="A298" s="81" t="s">
        <v>940</v>
      </c>
      <c r="B298" s="50">
        <v>2</v>
      </c>
    </row>
    <row r="299" spans="1:2" outlineLevel="1" x14ac:dyDescent="0.25">
      <c r="A299" s="81" t="s">
        <v>941</v>
      </c>
      <c r="B299" s="50">
        <v>2</v>
      </c>
    </row>
    <row r="300" spans="1:2" outlineLevel="1" x14ac:dyDescent="0.25">
      <c r="A300" s="81" t="s">
        <v>942</v>
      </c>
      <c r="B300" s="50">
        <v>2</v>
      </c>
    </row>
    <row r="301" spans="1:2" outlineLevel="1" x14ac:dyDescent="0.25">
      <c r="A301" s="81" t="s">
        <v>943</v>
      </c>
      <c r="B301" s="50">
        <v>2</v>
      </c>
    </row>
    <row r="302" spans="1:2" outlineLevel="1" x14ac:dyDescent="0.25">
      <c r="A302" s="81" t="s">
        <v>944</v>
      </c>
      <c r="B302" s="50">
        <v>2</v>
      </c>
    </row>
    <row r="303" spans="1:2" outlineLevel="1" x14ac:dyDescent="0.25">
      <c r="A303" s="81" t="s">
        <v>945</v>
      </c>
      <c r="B303" s="50">
        <v>2</v>
      </c>
    </row>
    <row r="304" spans="1:2" outlineLevel="1" x14ac:dyDescent="0.25">
      <c r="A304" s="81" t="s">
        <v>946</v>
      </c>
      <c r="B304" s="50">
        <v>2</v>
      </c>
    </row>
    <row r="305" spans="1:2" outlineLevel="1" x14ac:dyDescent="0.25">
      <c r="A305" s="81" t="s">
        <v>947</v>
      </c>
      <c r="B305" s="50">
        <v>2</v>
      </c>
    </row>
    <row r="306" spans="1:2" outlineLevel="1" x14ac:dyDescent="0.25">
      <c r="A306" s="81" t="s">
        <v>948</v>
      </c>
      <c r="B306" s="50">
        <v>2</v>
      </c>
    </row>
    <row r="307" spans="1:2" outlineLevel="1" x14ac:dyDescent="0.25">
      <c r="A307" s="81" t="s">
        <v>949</v>
      </c>
      <c r="B307" s="50">
        <v>2</v>
      </c>
    </row>
    <row r="308" spans="1:2" outlineLevel="1" x14ac:dyDescent="0.25">
      <c r="A308" s="81" t="s">
        <v>950</v>
      </c>
      <c r="B308" s="50">
        <v>2</v>
      </c>
    </row>
    <row r="309" spans="1:2" outlineLevel="1" x14ac:dyDescent="0.25">
      <c r="A309" s="81" t="s">
        <v>951</v>
      </c>
      <c r="B309" s="50">
        <v>3</v>
      </c>
    </row>
    <row r="310" spans="1:2" outlineLevel="1" x14ac:dyDescent="0.25">
      <c r="A310" s="81" t="s">
        <v>814</v>
      </c>
      <c r="B310" s="50">
        <v>3</v>
      </c>
    </row>
    <row r="311" spans="1:2" outlineLevel="1" x14ac:dyDescent="0.25">
      <c r="A311" s="81" t="s">
        <v>819</v>
      </c>
      <c r="B311" s="50">
        <v>3</v>
      </c>
    </row>
    <row r="312" spans="1:2" outlineLevel="1" x14ac:dyDescent="0.25">
      <c r="A312" s="104" t="s">
        <v>952</v>
      </c>
      <c r="B312" s="50">
        <v>2</v>
      </c>
    </row>
    <row r="313" spans="1:2" outlineLevel="1" x14ac:dyDescent="0.25">
      <c r="A313" s="104" t="s">
        <v>413</v>
      </c>
      <c r="B313" s="50">
        <v>1</v>
      </c>
    </row>
    <row r="314" spans="1:2" outlineLevel="1" x14ac:dyDescent="0.25">
      <c r="A314" s="104" t="s">
        <v>504</v>
      </c>
      <c r="B314" s="50">
        <v>1</v>
      </c>
    </row>
    <row r="315" spans="1:2" outlineLevel="1" x14ac:dyDescent="0.25">
      <c r="A315" s="104" t="s">
        <v>414</v>
      </c>
      <c r="B315" s="50">
        <v>1</v>
      </c>
    </row>
    <row r="316" spans="1:2" outlineLevel="1" x14ac:dyDescent="0.25">
      <c r="A316" s="104" t="s">
        <v>415</v>
      </c>
      <c r="B316" s="50">
        <v>1</v>
      </c>
    </row>
    <row r="317" spans="1:2" outlineLevel="1" x14ac:dyDescent="0.25">
      <c r="A317" s="104" t="s">
        <v>416</v>
      </c>
      <c r="B317" s="50">
        <v>2</v>
      </c>
    </row>
    <row r="318" spans="1:2" outlineLevel="1" x14ac:dyDescent="0.25">
      <c r="A318" s="104" t="s">
        <v>417</v>
      </c>
      <c r="B318" s="50">
        <v>2</v>
      </c>
    </row>
    <row r="319" spans="1:2" outlineLevel="1" x14ac:dyDescent="0.25">
      <c r="A319" s="104" t="s">
        <v>418</v>
      </c>
      <c r="B319" s="50">
        <v>2</v>
      </c>
    </row>
    <row r="320" spans="1:2" outlineLevel="1" x14ac:dyDescent="0.25">
      <c r="A320" s="104" t="s">
        <v>955</v>
      </c>
      <c r="B320" s="50">
        <v>1</v>
      </c>
    </row>
    <row r="321" spans="1:2" outlineLevel="1" x14ac:dyDescent="0.25">
      <c r="A321" s="104" t="s">
        <v>956</v>
      </c>
      <c r="B321" s="50">
        <v>1</v>
      </c>
    </row>
    <row r="322" spans="1:2" outlineLevel="1" x14ac:dyDescent="0.25">
      <c r="A322" s="104" t="s">
        <v>957</v>
      </c>
      <c r="B322" s="50">
        <v>1</v>
      </c>
    </row>
    <row r="323" spans="1:2" outlineLevel="1" x14ac:dyDescent="0.25">
      <c r="A323" s="104" t="s">
        <v>958</v>
      </c>
      <c r="B323" s="50">
        <v>1</v>
      </c>
    </row>
    <row r="324" spans="1:2" outlineLevel="1" x14ac:dyDescent="0.25">
      <c r="A324" s="104" t="s">
        <v>959</v>
      </c>
      <c r="B324" s="50">
        <v>1</v>
      </c>
    </row>
    <row r="325" spans="1:2" outlineLevel="1" x14ac:dyDescent="0.25">
      <c r="A325" s="104" t="s">
        <v>960</v>
      </c>
      <c r="B325" s="50">
        <v>2</v>
      </c>
    </row>
    <row r="326" spans="1:2" outlineLevel="1" x14ac:dyDescent="0.25">
      <c r="A326" s="104" t="s">
        <v>416</v>
      </c>
      <c r="B326" s="50">
        <v>2</v>
      </c>
    </row>
    <row r="327" spans="1:2" outlineLevel="1" x14ac:dyDescent="0.25">
      <c r="A327" s="104" t="s">
        <v>961</v>
      </c>
      <c r="B327" s="50">
        <v>2</v>
      </c>
    </row>
    <row r="328" spans="1:2" outlineLevel="1" x14ac:dyDescent="0.25">
      <c r="A328" s="104" t="s">
        <v>962</v>
      </c>
      <c r="B328" s="50">
        <v>2</v>
      </c>
    </row>
    <row r="329" spans="1:2" outlineLevel="1" x14ac:dyDescent="0.25">
      <c r="A329" s="104" t="s">
        <v>963</v>
      </c>
      <c r="B329" s="50">
        <v>2</v>
      </c>
    </row>
    <row r="330" spans="1:2" outlineLevel="1" x14ac:dyDescent="0.25">
      <c r="A330" s="104" t="s">
        <v>964</v>
      </c>
      <c r="B330" s="50">
        <v>2</v>
      </c>
    </row>
    <row r="331" spans="1:2" outlineLevel="1" x14ac:dyDescent="0.25">
      <c r="A331" s="104" t="s">
        <v>965</v>
      </c>
      <c r="B331" s="50">
        <v>3</v>
      </c>
    </row>
    <row r="332" spans="1:2" outlineLevel="1" x14ac:dyDescent="0.25">
      <c r="A332" s="104" t="s">
        <v>966</v>
      </c>
      <c r="B332" s="50">
        <v>3</v>
      </c>
    </row>
    <row r="333" spans="1:2" outlineLevel="1" x14ac:dyDescent="0.25">
      <c r="A333" s="104" t="s">
        <v>419</v>
      </c>
      <c r="B333" s="50">
        <v>1</v>
      </c>
    </row>
    <row r="334" spans="1:2" outlineLevel="1" x14ac:dyDescent="0.25">
      <c r="A334" s="104" t="s">
        <v>420</v>
      </c>
      <c r="B334" s="50">
        <v>1</v>
      </c>
    </row>
    <row r="335" spans="1:2" outlineLevel="1" x14ac:dyDescent="0.25">
      <c r="A335" s="104" t="s">
        <v>421</v>
      </c>
      <c r="B335" s="50">
        <v>2</v>
      </c>
    </row>
    <row r="336" spans="1:2" outlineLevel="1" x14ac:dyDescent="0.25">
      <c r="A336" s="104" t="s">
        <v>422</v>
      </c>
      <c r="B336" s="50">
        <v>2</v>
      </c>
    </row>
    <row r="337" spans="1:2" outlineLevel="1" x14ac:dyDescent="0.25">
      <c r="A337" s="104" t="s">
        <v>985</v>
      </c>
      <c r="B337" s="50">
        <v>1</v>
      </c>
    </row>
    <row r="338" spans="1:2" outlineLevel="1" x14ac:dyDescent="0.25">
      <c r="A338" s="104" t="s">
        <v>986</v>
      </c>
      <c r="B338" s="50">
        <v>1</v>
      </c>
    </row>
    <row r="339" spans="1:2" outlineLevel="1" x14ac:dyDescent="0.25">
      <c r="A339" s="104" t="s">
        <v>987</v>
      </c>
      <c r="B339" s="50">
        <v>2</v>
      </c>
    </row>
    <row r="340" spans="1:2" outlineLevel="1" x14ac:dyDescent="0.25">
      <c r="A340" s="104" t="s">
        <v>988</v>
      </c>
      <c r="B340" s="50">
        <v>3</v>
      </c>
    </row>
    <row r="341" spans="1:2" outlineLevel="1" x14ac:dyDescent="0.25">
      <c r="A341" s="104" t="s">
        <v>439</v>
      </c>
      <c r="B341" s="50">
        <v>1</v>
      </c>
    </row>
    <row r="342" spans="1:2" outlineLevel="1" x14ac:dyDescent="0.25">
      <c r="A342" s="104" t="s">
        <v>440</v>
      </c>
      <c r="B342" s="50">
        <v>1</v>
      </c>
    </row>
    <row r="343" spans="1:2" outlineLevel="1" x14ac:dyDescent="0.25">
      <c r="A343" s="104" t="s">
        <v>441</v>
      </c>
      <c r="B343" s="50">
        <v>2</v>
      </c>
    </row>
    <row r="344" spans="1:2" outlineLevel="1" x14ac:dyDescent="0.25">
      <c r="A344" s="104" t="s">
        <v>442</v>
      </c>
      <c r="B344" s="50">
        <v>2</v>
      </c>
    </row>
    <row r="345" spans="1:2" outlineLevel="1" x14ac:dyDescent="0.25">
      <c r="A345" s="104" t="s">
        <v>443</v>
      </c>
      <c r="B345" s="50">
        <v>2</v>
      </c>
    </row>
    <row r="346" spans="1:2" outlineLevel="1" x14ac:dyDescent="0.25">
      <c r="A346" s="104" t="s">
        <v>444</v>
      </c>
      <c r="B346" s="50">
        <v>2</v>
      </c>
    </row>
    <row r="347" spans="1:2" outlineLevel="1" x14ac:dyDescent="0.25">
      <c r="A347" s="104" t="s">
        <v>445</v>
      </c>
      <c r="B347" s="50">
        <v>2</v>
      </c>
    </row>
    <row r="348" spans="1:2" outlineLevel="1" x14ac:dyDescent="0.25">
      <c r="A348" s="104" t="s">
        <v>446</v>
      </c>
      <c r="B348" s="50">
        <v>3</v>
      </c>
    </row>
    <row r="349" spans="1:2" outlineLevel="1" x14ac:dyDescent="0.25">
      <c r="A349" s="104" t="s">
        <v>992</v>
      </c>
      <c r="B349" s="50">
        <v>1</v>
      </c>
    </row>
    <row r="350" spans="1:2" outlineLevel="1" x14ac:dyDescent="0.25">
      <c r="A350" s="104" t="s">
        <v>991</v>
      </c>
      <c r="B350" s="50">
        <v>1</v>
      </c>
    </row>
    <row r="351" spans="1:2" outlineLevel="1" x14ac:dyDescent="0.25">
      <c r="A351" s="104" t="s">
        <v>990</v>
      </c>
      <c r="B351" s="50">
        <v>1</v>
      </c>
    </row>
    <row r="352" spans="1:2" outlineLevel="1" x14ac:dyDescent="0.25">
      <c r="A352" s="104" t="s">
        <v>989</v>
      </c>
      <c r="B352" s="50">
        <v>1</v>
      </c>
    </row>
    <row r="353" spans="1:2" outlineLevel="1" x14ac:dyDescent="0.25">
      <c r="A353" s="104" t="s">
        <v>993</v>
      </c>
      <c r="B353" s="50">
        <v>2</v>
      </c>
    </row>
    <row r="354" spans="1:2" outlineLevel="1" x14ac:dyDescent="0.25">
      <c r="A354" s="104" t="s">
        <v>994</v>
      </c>
      <c r="B354" s="50">
        <v>2</v>
      </c>
    </row>
    <row r="355" spans="1:2" outlineLevel="1" x14ac:dyDescent="0.25">
      <c r="A355" s="104" t="s">
        <v>995</v>
      </c>
      <c r="B355" s="50">
        <v>2</v>
      </c>
    </row>
    <row r="356" spans="1:2" outlineLevel="1" x14ac:dyDescent="0.25">
      <c r="A356" s="104" t="s">
        <v>998</v>
      </c>
      <c r="B356" s="50">
        <v>2</v>
      </c>
    </row>
    <row r="357" spans="1:2" outlineLevel="1" x14ac:dyDescent="0.25">
      <c r="A357" s="104" t="s">
        <v>996</v>
      </c>
      <c r="B357" s="50">
        <v>2</v>
      </c>
    </row>
    <row r="358" spans="1:2" outlineLevel="1" x14ac:dyDescent="0.25">
      <c r="A358" s="104" t="s">
        <v>997</v>
      </c>
      <c r="B358" s="50">
        <v>2</v>
      </c>
    </row>
    <row r="359" spans="1:2" outlineLevel="1" x14ac:dyDescent="0.25">
      <c r="A359" s="104" t="s">
        <v>999</v>
      </c>
      <c r="B359" s="50">
        <v>2</v>
      </c>
    </row>
    <row r="360" spans="1:2" outlineLevel="1" x14ac:dyDescent="0.25">
      <c r="A360" s="104" t="s">
        <v>447</v>
      </c>
      <c r="B360" s="50">
        <v>1</v>
      </c>
    </row>
    <row r="361" spans="1:2" outlineLevel="1" x14ac:dyDescent="0.25">
      <c r="A361" s="104" t="s">
        <v>1000</v>
      </c>
      <c r="B361" s="50">
        <v>1</v>
      </c>
    </row>
    <row r="362" spans="1:2" outlineLevel="1" x14ac:dyDescent="0.25">
      <c r="A362" s="104" t="s">
        <v>1001</v>
      </c>
      <c r="B362" s="50">
        <v>1</v>
      </c>
    </row>
    <row r="363" spans="1:2" outlineLevel="1" x14ac:dyDescent="0.25">
      <c r="A363" s="104" t="s">
        <v>1002</v>
      </c>
      <c r="B363" s="50">
        <v>2</v>
      </c>
    </row>
    <row r="364" spans="1:2" outlineLevel="1" x14ac:dyDescent="0.25">
      <c r="A364" s="104" t="s">
        <v>1003</v>
      </c>
      <c r="B364" s="50">
        <v>2</v>
      </c>
    </row>
    <row r="365" spans="1:2" outlineLevel="1" x14ac:dyDescent="0.25">
      <c r="A365" s="104" t="s">
        <v>1004</v>
      </c>
      <c r="B365" s="50">
        <v>3</v>
      </c>
    </row>
    <row r="366" spans="1:2" outlineLevel="1" x14ac:dyDescent="0.25">
      <c r="A366" s="104" t="s">
        <v>1005</v>
      </c>
      <c r="B366" s="50">
        <v>1</v>
      </c>
    </row>
    <row r="367" spans="1:2" outlineLevel="1" x14ac:dyDescent="0.25">
      <c r="A367" s="104" t="s">
        <v>575</v>
      </c>
      <c r="B367" s="50">
        <v>1</v>
      </c>
    </row>
    <row r="368" spans="1:2" outlineLevel="1" x14ac:dyDescent="0.25">
      <c r="A368" s="104" t="s">
        <v>1006</v>
      </c>
      <c r="B368" s="50">
        <v>2</v>
      </c>
    </row>
    <row r="369" spans="1:2" outlineLevel="1" x14ac:dyDescent="0.25">
      <c r="A369" s="104" t="s">
        <v>505</v>
      </c>
      <c r="B369" s="50">
        <v>2</v>
      </c>
    </row>
    <row r="370" spans="1:2" outlineLevel="1" x14ac:dyDescent="0.25">
      <c r="A370" s="104" t="s">
        <v>349</v>
      </c>
      <c r="B370" s="50">
        <v>2</v>
      </c>
    </row>
    <row r="371" spans="1:2" outlineLevel="1" x14ac:dyDescent="0.25">
      <c r="A371" s="104" t="s">
        <v>1007</v>
      </c>
      <c r="B371" s="50">
        <v>3</v>
      </c>
    </row>
    <row r="372" spans="1:2" outlineLevel="1" x14ac:dyDescent="0.25">
      <c r="A372" s="104" t="s">
        <v>1008</v>
      </c>
      <c r="B372" s="50">
        <v>1</v>
      </c>
    </row>
    <row r="373" spans="1:2" outlineLevel="1" x14ac:dyDescent="0.25">
      <c r="A373" s="104" t="s">
        <v>1009</v>
      </c>
      <c r="B373" s="50">
        <v>1</v>
      </c>
    </row>
    <row r="374" spans="1:2" outlineLevel="1" x14ac:dyDescent="0.25">
      <c r="A374" s="104" t="s">
        <v>1010</v>
      </c>
      <c r="B374" s="50">
        <v>2</v>
      </c>
    </row>
    <row r="375" spans="1:2" outlineLevel="1" x14ac:dyDescent="0.25">
      <c r="A375" s="104" t="s">
        <v>1011</v>
      </c>
      <c r="B375" s="50">
        <v>2</v>
      </c>
    </row>
    <row r="376" spans="1:2" outlineLevel="1" x14ac:dyDescent="0.25">
      <c r="A376" s="104" t="s">
        <v>1012</v>
      </c>
      <c r="B376" s="50">
        <v>3</v>
      </c>
    </row>
    <row r="377" spans="1:2" outlineLevel="1" x14ac:dyDescent="0.25">
      <c r="A377" s="104" t="s">
        <v>1013</v>
      </c>
      <c r="B377" s="50">
        <v>1</v>
      </c>
    </row>
    <row r="378" spans="1:2" outlineLevel="1" x14ac:dyDescent="0.25">
      <c r="A378" s="81" t="s">
        <v>1014</v>
      </c>
      <c r="B378" s="50">
        <v>1</v>
      </c>
    </row>
    <row r="379" spans="1:2" outlineLevel="1" x14ac:dyDescent="0.25">
      <c r="A379" s="81" t="s">
        <v>449</v>
      </c>
      <c r="B379" s="50">
        <v>1</v>
      </c>
    </row>
    <row r="380" spans="1:2" outlineLevel="1" x14ac:dyDescent="0.25">
      <c r="A380" s="81" t="s">
        <v>448</v>
      </c>
      <c r="B380" s="50">
        <v>2</v>
      </c>
    </row>
    <row r="381" spans="1:2" outlineLevel="1" x14ac:dyDescent="0.25">
      <c r="A381" s="81" t="s">
        <v>450</v>
      </c>
      <c r="B381" s="50">
        <v>2</v>
      </c>
    </row>
    <row r="382" spans="1:2" outlineLevel="1" x14ac:dyDescent="0.25">
      <c r="A382" s="81" t="s">
        <v>451</v>
      </c>
      <c r="B382" s="50">
        <v>3</v>
      </c>
    </row>
    <row r="383" spans="1:2" outlineLevel="1" x14ac:dyDescent="0.25">
      <c r="A383" s="104" t="s">
        <v>565</v>
      </c>
      <c r="B383" s="50">
        <v>2</v>
      </c>
    </row>
    <row r="384" spans="1:2" outlineLevel="1" x14ac:dyDescent="0.25">
      <c r="A384" s="104" t="s">
        <v>566</v>
      </c>
      <c r="B384" s="50">
        <v>3</v>
      </c>
    </row>
    <row r="385" spans="1:2" outlineLevel="1" x14ac:dyDescent="0.25">
      <c r="A385" s="104" t="s">
        <v>522</v>
      </c>
      <c r="B385" s="103">
        <v>1</v>
      </c>
    </row>
    <row r="386" spans="1:2" outlineLevel="1" x14ac:dyDescent="0.25">
      <c r="A386" s="81" t="s">
        <v>527</v>
      </c>
      <c r="B386" s="103">
        <v>1</v>
      </c>
    </row>
    <row r="387" spans="1:2" outlineLevel="1" x14ac:dyDescent="0.25">
      <c r="A387" s="81" t="s">
        <v>528</v>
      </c>
      <c r="B387" s="103">
        <v>1</v>
      </c>
    </row>
    <row r="388" spans="1:2" outlineLevel="1" x14ac:dyDescent="0.25">
      <c r="A388" s="81" t="s">
        <v>529</v>
      </c>
      <c r="B388" s="103">
        <v>1</v>
      </c>
    </row>
    <row r="389" spans="1:2" outlineLevel="1" x14ac:dyDescent="0.25">
      <c r="A389" s="81" t="s">
        <v>530</v>
      </c>
      <c r="B389" s="103">
        <v>1</v>
      </c>
    </row>
    <row r="390" spans="1:2" outlineLevel="1" x14ac:dyDescent="0.25">
      <c r="A390" s="81" t="s">
        <v>531</v>
      </c>
      <c r="B390" s="103">
        <v>1</v>
      </c>
    </row>
    <row r="391" spans="1:2" outlineLevel="1" x14ac:dyDescent="0.25">
      <c r="A391" s="81" t="s">
        <v>968</v>
      </c>
      <c r="B391" s="103">
        <v>1</v>
      </c>
    </row>
    <row r="392" spans="1:2" outlineLevel="1" x14ac:dyDescent="0.25">
      <c r="A392" s="81" t="s">
        <v>969</v>
      </c>
      <c r="B392" s="103">
        <v>1</v>
      </c>
    </row>
    <row r="393" spans="1:2" outlineLevel="1" x14ac:dyDescent="0.25">
      <c r="A393" s="81" t="s">
        <v>970</v>
      </c>
      <c r="B393" s="103">
        <v>1</v>
      </c>
    </row>
    <row r="394" spans="1:2" outlineLevel="1" x14ac:dyDescent="0.25">
      <c r="A394" s="81" t="s">
        <v>523</v>
      </c>
      <c r="B394" s="103">
        <v>1</v>
      </c>
    </row>
    <row r="395" spans="1:2" outlineLevel="1" x14ac:dyDescent="0.25">
      <c r="A395" s="104" t="s">
        <v>524</v>
      </c>
      <c r="B395" s="103">
        <v>1</v>
      </c>
    </row>
    <row r="396" spans="1:2" outlineLevel="1" x14ac:dyDescent="0.25">
      <c r="A396" s="81" t="s">
        <v>971</v>
      </c>
      <c r="B396" s="103">
        <v>1</v>
      </c>
    </row>
    <row r="397" spans="1:2" outlineLevel="1" x14ac:dyDescent="0.25">
      <c r="A397" s="81" t="s">
        <v>972</v>
      </c>
      <c r="B397" s="103">
        <v>2</v>
      </c>
    </row>
    <row r="398" spans="1:2" outlineLevel="1" x14ac:dyDescent="0.25">
      <c r="A398" s="81" t="s">
        <v>973</v>
      </c>
      <c r="B398" s="103">
        <v>2</v>
      </c>
    </row>
    <row r="399" spans="1:2" outlineLevel="1" x14ac:dyDescent="0.25">
      <c r="A399" s="81" t="s">
        <v>975</v>
      </c>
      <c r="B399" s="103">
        <v>2</v>
      </c>
    </row>
    <row r="400" spans="1:2" outlineLevel="1" x14ac:dyDescent="0.25">
      <c r="A400" s="81" t="s">
        <v>976</v>
      </c>
      <c r="B400" s="103">
        <v>2</v>
      </c>
    </row>
    <row r="401" spans="1:2" outlineLevel="1" x14ac:dyDescent="0.25">
      <c r="A401" s="81" t="s">
        <v>977</v>
      </c>
      <c r="B401" s="103">
        <v>2</v>
      </c>
    </row>
    <row r="402" spans="1:2" outlineLevel="1" x14ac:dyDescent="0.25">
      <c r="A402" s="81" t="s">
        <v>978</v>
      </c>
      <c r="B402" s="103">
        <v>2</v>
      </c>
    </row>
    <row r="403" spans="1:2" outlineLevel="1" x14ac:dyDescent="0.25">
      <c r="A403" s="81" t="s">
        <v>979</v>
      </c>
      <c r="B403" s="103">
        <v>2</v>
      </c>
    </row>
    <row r="404" spans="1:2" outlineLevel="1" x14ac:dyDescent="0.25">
      <c r="A404" s="81" t="s">
        <v>980</v>
      </c>
      <c r="B404" s="103">
        <v>2</v>
      </c>
    </row>
    <row r="405" spans="1:2" outlineLevel="1" x14ac:dyDescent="0.25">
      <c r="A405" s="81" t="s">
        <v>981</v>
      </c>
      <c r="B405" s="103">
        <v>2</v>
      </c>
    </row>
    <row r="406" spans="1:2" outlineLevel="1" x14ac:dyDescent="0.25">
      <c r="A406" s="81" t="s">
        <v>982</v>
      </c>
      <c r="B406" s="103">
        <v>2</v>
      </c>
    </row>
    <row r="407" spans="1:2" outlineLevel="1" x14ac:dyDescent="0.25">
      <c r="A407" s="104" t="s">
        <v>983</v>
      </c>
      <c r="B407" s="103">
        <v>2</v>
      </c>
    </row>
    <row r="408" spans="1:2" outlineLevel="1" x14ac:dyDescent="0.25">
      <c r="A408" s="104" t="s">
        <v>984</v>
      </c>
      <c r="B408" s="103">
        <v>2</v>
      </c>
    </row>
    <row r="409" spans="1:2" outlineLevel="1" x14ac:dyDescent="0.25">
      <c r="A409" s="104" t="s">
        <v>525</v>
      </c>
      <c r="B409" s="103">
        <v>3</v>
      </c>
    </row>
    <row r="410" spans="1:2" outlineLevel="1" x14ac:dyDescent="0.25">
      <c r="A410" s="104" t="s">
        <v>532</v>
      </c>
      <c r="B410" s="103">
        <v>3</v>
      </c>
    </row>
    <row r="411" spans="1:2" outlineLevel="1" x14ac:dyDescent="0.25">
      <c r="A411" s="104" t="s">
        <v>533</v>
      </c>
      <c r="B411" s="103">
        <v>3</v>
      </c>
    </row>
    <row r="412" spans="1:2" outlineLevel="1" x14ac:dyDescent="0.25">
      <c r="A412" s="104" t="s">
        <v>534</v>
      </c>
      <c r="B412" s="103">
        <v>3</v>
      </c>
    </row>
    <row r="413" spans="1:2" outlineLevel="1" x14ac:dyDescent="0.25">
      <c r="A413" s="104" t="s">
        <v>535</v>
      </c>
      <c r="B413" s="103">
        <v>3</v>
      </c>
    </row>
    <row r="414" spans="1:2" outlineLevel="1" x14ac:dyDescent="0.25">
      <c r="A414" s="104" t="s">
        <v>537</v>
      </c>
      <c r="B414" s="103">
        <v>3</v>
      </c>
    </row>
    <row r="415" spans="1:2" outlineLevel="1" x14ac:dyDescent="0.25">
      <c r="A415" s="104" t="s">
        <v>536</v>
      </c>
      <c r="B415" s="103">
        <v>3</v>
      </c>
    </row>
    <row r="416" spans="1:2" outlineLevel="1" x14ac:dyDescent="0.25">
      <c r="A416" s="104" t="s">
        <v>538</v>
      </c>
      <c r="B416" s="103">
        <v>3</v>
      </c>
    </row>
    <row r="417" spans="1:2" outlineLevel="1" x14ac:dyDescent="0.25">
      <c r="A417" s="104" t="s">
        <v>526</v>
      </c>
      <c r="B417" s="103">
        <v>3</v>
      </c>
    </row>
    <row r="418" spans="1:2" outlineLevel="1" x14ac:dyDescent="0.25">
      <c r="A418" s="104" t="s">
        <v>974</v>
      </c>
      <c r="B418" s="103">
        <v>3</v>
      </c>
    </row>
    <row r="419" spans="1:2" outlineLevel="1" x14ac:dyDescent="0.25">
      <c r="A419" s="104" t="s">
        <v>1055</v>
      </c>
      <c r="B419" s="103">
        <v>1</v>
      </c>
    </row>
    <row r="420" spans="1:2" outlineLevel="1" x14ac:dyDescent="0.25">
      <c r="A420" s="104" t="s">
        <v>1056</v>
      </c>
      <c r="B420" s="103">
        <v>1</v>
      </c>
    </row>
    <row r="421" spans="1:2" outlineLevel="1" x14ac:dyDescent="0.25">
      <c r="A421" s="104" t="s">
        <v>1057</v>
      </c>
      <c r="B421" s="103">
        <v>1</v>
      </c>
    </row>
    <row r="422" spans="1:2" outlineLevel="1" x14ac:dyDescent="0.25">
      <c r="A422" s="104" t="s">
        <v>1058</v>
      </c>
      <c r="B422" s="103">
        <v>1</v>
      </c>
    </row>
    <row r="423" spans="1:2" outlineLevel="1" x14ac:dyDescent="0.25">
      <c r="A423" s="104" t="s">
        <v>1059</v>
      </c>
      <c r="B423" s="103">
        <v>1</v>
      </c>
    </row>
    <row r="424" spans="1:2" outlineLevel="1" x14ac:dyDescent="0.25">
      <c r="A424" s="104" t="s">
        <v>1060</v>
      </c>
      <c r="B424" s="103">
        <v>1</v>
      </c>
    </row>
    <row r="425" spans="1:2" outlineLevel="1" x14ac:dyDescent="0.25">
      <c r="A425" s="104" t="s">
        <v>1061</v>
      </c>
      <c r="B425" s="103">
        <v>1</v>
      </c>
    </row>
    <row r="426" spans="1:2" outlineLevel="1" x14ac:dyDescent="0.25">
      <c r="A426" s="104" t="s">
        <v>1062</v>
      </c>
      <c r="B426" s="103">
        <v>1</v>
      </c>
    </row>
    <row r="427" spans="1:2" outlineLevel="1" x14ac:dyDescent="0.25">
      <c r="A427" s="104" t="s">
        <v>1063</v>
      </c>
      <c r="B427" s="103">
        <v>1</v>
      </c>
    </row>
    <row r="428" spans="1:2" outlineLevel="1" x14ac:dyDescent="0.25">
      <c r="A428" s="104" t="s">
        <v>1064</v>
      </c>
      <c r="B428" s="103">
        <v>1</v>
      </c>
    </row>
    <row r="429" spans="1:2" outlineLevel="1" x14ac:dyDescent="0.25">
      <c r="A429" s="104" t="s">
        <v>1065</v>
      </c>
      <c r="B429" s="103">
        <v>1</v>
      </c>
    </row>
    <row r="430" spans="1:2" outlineLevel="1" x14ac:dyDescent="0.25">
      <c r="A430" s="104" t="s">
        <v>1066</v>
      </c>
      <c r="B430" s="103">
        <v>1</v>
      </c>
    </row>
    <row r="431" spans="1:2" outlineLevel="1" x14ac:dyDescent="0.25">
      <c r="A431" s="104" t="s">
        <v>540</v>
      </c>
      <c r="B431" s="103">
        <v>1</v>
      </c>
    </row>
    <row r="432" spans="1:2" outlineLevel="1" x14ac:dyDescent="0.25">
      <c r="A432" s="104" t="s">
        <v>1067</v>
      </c>
      <c r="B432" s="103">
        <v>1</v>
      </c>
    </row>
    <row r="433" spans="1:2" outlineLevel="1" x14ac:dyDescent="0.25">
      <c r="A433" s="104" t="s">
        <v>1068</v>
      </c>
      <c r="B433" s="103">
        <v>1</v>
      </c>
    </row>
    <row r="434" spans="1:2" outlineLevel="1" x14ac:dyDescent="0.25">
      <c r="A434" s="104" t="s">
        <v>1069</v>
      </c>
      <c r="B434" s="103">
        <v>2</v>
      </c>
    </row>
    <row r="435" spans="1:2" outlineLevel="1" x14ac:dyDescent="0.25">
      <c r="A435" s="104" t="s">
        <v>1070</v>
      </c>
      <c r="B435" s="103">
        <v>2</v>
      </c>
    </row>
    <row r="436" spans="1:2" outlineLevel="1" x14ac:dyDescent="0.25">
      <c r="A436" s="104" t="s">
        <v>1071</v>
      </c>
      <c r="B436" s="103">
        <v>2</v>
      </c>
    </row>
    <row r="437" spans="1:2" outlineLevel="1" x14ac:dyDescent="0.25">
      <c r="A437" s="104" t="s">
        <v>1072</v>
      </c>
      <c r="B437" s="103">
        <v>2</v>
      </c>
    </row>
    <row r="438" spans="1:2" outlineLevel="1" x14ac:dyDescent="0.25">
      <c r="A438" s="104" t="s">
        <v>1073</v>
      </c>
      <c r="B438" s="103">
        <v>2</v>
      </c>
    </row>
    <row r="439" spans="1:2" outlineLevel="1" x14ac:dyDescent="0.25">
      <c r="A439" s="104" t="s">
        <v>1074</v>
      </c>
      <c r="B439" s="103">
        <v>2</v>
      </c>
    </row>
    <row r="440" spans="1:2" outlineLevel="1" x14ac:dyDescent="0.25">
      <c r="A440" s="104" t="s">
        <v>1075</v>
      </c>
      <c r="B440" s="103">
        <v>2</v>
      </c>
    </row>
    <row r="441" spans="1:2" outlineLevel="1" x14ac:dyDescent="0.25">
      <c r="A441" s="104" t="s">
        <v>1076</v>
      </c>
      <c r="B441" s="103">
        <v>2</v>
      </c>
    </row>
    <row r="442" spans="1:2" outlineLevel="1" x14ac:dyDescent="0.25">
      <c r="A442" s="104" t="s">
        <v>543</v>
      </c>
      <c r="B442" s="103">
        <v>2</v>
      </c>
    </row>
    <row r="443" spans="1:2" outlineLevel="1" x14ac:dyDescent="0.25">
      <c r="A443" s="104" t="s">
        <v>541</v>
      </c>
      <c r="B443" s="103">
        <v>2</v>
      </c>
    </row>
    <row r="444" spans="1:2" outlineLevel="1" x14ac:dyDescent="0.25">
      <c r="A444" s="104" t="s">
        <v>1077</v>
      </c>
      <c r="B444" s="103">
        <v>2</v>
      </c>
    </row>
    <row r="445" spans="1:2" outlineLevel="1" x14ac:dyDescent="0.25">
      <c r="A445" s="104" t="s">
        <v>1078</v>
      </c>
      <c r="B445" s="103">
        <v>2</v>
      </c>
    </row>
    <row r="446" spans="1:2" outlineLevel="1" x14ac:dyDescent="0.25">
      <c r="A446" s="104" t="s">
        <v>1079</v>
      </c>
      <c r="B446" s="103">
        <v>2</v>
      </c>
    </row>
    <row r="447" spans="1:2" outlineLevel="1" x14ac:dyDescent="0.25">
      <c r="A447" s="104" t="s">
        <v>1080</v>
      </c>
      <c r="B447" s="103">
        <v>2</v>
      </c>
    </row>
    <row r="448" spans="1:2" outlineLevel="1" x14ac:dyDescent="0.25">
      <c r="A448" s="104" t="s">
        <v>1081</v>
      </c>
      <c r="B448" s="103">
        <v>2</v>
      </c>
    </row>
    <row r="449" spans="1:2" outlineLevel="1" x14ac:dyDescent="0.25">
      <c r="A449" s="104" t="s">
        <v>1082</v>
      </c>
      <c r="B449" s="103">
        <v>2</v>
      </c>
    </row>
    <row r="450" spans="1:2" outlineLevel="1" x14ac:dyDescent="0.25">
      <c r="A450" s="104" t="s">
        <v>1083</v>
      </c>
      <c r="B450" s="103">
        <v>2</v>
      </c>
    </row>
    <row r="451" spans="1:2" outlineLevel="1" x14ac:dyDescent="0.25">
      <c r="A451" s="104" t="s">
        <v>1084</v>
      </c>
      <c r="B451" s="103">
        <v>2</v>
      </c>
    </row>
    <row r="452" spans="1:2" outlineLevel="1" x14ac:dyDescent="0.25">
      <c r="A452" s="104" t="s">
        <v>544</v>
      </c>
      <c r="B452" s="103">
        <v>2</v>
      </c>
    </row>
    <row r="453" spans="1:2" outlineLevel="1" x14ac:dyDescent="0.25">
      <c r="A453" s="104" t="s">
        <v>1085</v>
      </c>
      <c r="B453" s="103">
        <v>2</v>
      </c>
    </row>
    <row r="454" spans="1:2" outlineLevel="1" x14ac:dyDescent="0.25">
      <c r="A454" s="104" t="s">
        <v>1086</v>
      </c>
      <c r="B454" s="103">
        <v>2</v>
      </c>
    </row>
    <row r="455" spans="1:2" outlineLevel="1" x14ac:dyDescent="0.25">
      <c r="A455" s="104" t="s">
        <v>539</v>
      </c>
      <c r="B455" s="103">
        <v>2</v>
      </c>
    </row>
    <row r="456" spans="1:2" outlineLevel="1" x14ac:dyDescent="0.25">
      <c r="A456" s="104" t="s">
        <v>521</v>
      </c>
      <c r="B456" s="103">
        <v>3</v>
      </c>
    </row>
    <row r="457" spans="1:2" outlineLevel="1" x14ac:dyDescent="0.25">
      <c r="A457" s="104" t="s">
        <v>1087</v>
      </c>
      <c r="B457" s="103">
        <v>3</v>
      </c>
    </row>
    <row r="458" spans="1:2" outlineLevel="1" x14ac:dyDescent="0.25">
      <c r="A458" s="104" t="s">
        <v>542</v>
      </c>
      <c r="B458" s="103">
        <v>3</v>
      </c>
    </row>
    <row r="459" spans="1:2" outlineLevel="1" x14ac:dyDescent="0.25">
      <c r="A459" s="104" t="s">
        <v>1088</v>
      </c>
      <c r="B459" s="103">
        <v>3</v>
      </c>
    </row>
    <row r="460" spans="1:2" outlineLevel="1" x14ac:dyDescent="0.25">
      <c r="A460" s="104" t="s">
        <v>1089</v>
      </c>
      <c r="B460" s="103">
        <v>3</v>
      </c>
    </row>
    <row r="461" spans="1:2" outlineLevel="1" x14ac:dyDescent="0.25">
      <c r="A461" s="104" t="s">
        <v>1090</v>
      </c>
      <c r="B461" s="103">
        <v>3</v>
      </c>
    </row>
    <row r="462" spans="1:2" outlineLevel="1" x14ac:dyDescent="0.25">
      <c r="A462" s="104" t="s">
        <v>1091</v>
      </c>
      <c r="B462" s="103">
        <v>3</v>
      </c>
    </row>
    <row r="463" spans="1:2" outlineLevel="1" x14ac:dyDescent="0.25">
      <c r="A463" s="104" t="s">
        <v>1092</v>
      </c>
      <c r="B463" s="103">
        <v>3</v>
      </c>
    </row>
    <row r="464" spans="1:2" outlineLevel="1" x14ac:dyDescent="0.25">
      <c r="A464" s="104" t="s">
        <v>1093</v>
      </c>
      <c r="B464" s="103">
        <v>3</v>
      </c>
    </row>
    <row r="465" spans="1:2" outlineLevel="1" x14ac:dyDescent="0.25">
      <c r="A465" s="104" t="s">
        <v>1094</v>
      </c>
      <c r="B465" s="103">
        <v>3</v>
      </c>
    </row>
    <row r="466" spans="1:2" outlineLevel="1" x14ac:dyDescent="0.25">
      <c r="A466" s="104" t="s">
        <v>546</v>
      </c>
      <c r="B466" s="103">
        <v>3</v>
      </c>
    </row>
    <row r="467" spans="1:2" outlineLevel="1" x14ac:dyDescent="0.25">
      <c r="A467" s="104" t="s">
        <v>1095</v>
      </c>
      <c r="B467" s="103">
        <v>3</v>
      </c>
    </row>
    <row r="468" spans="1:2" outlineLevel="1" x14ac:dyDescent="0.25">
      <c r="A468" s="104" t="s">
        <v>1096</v>
      </c>
      <c r="B468" s="103">
        <v>3</v>
      </c>
    </row>
    <row r="469" spans="1:2" outlineLevel="1" x14ac:dyDescent="0.25">
      <c r="A469" s="104" t="s">
        <v>1097</v>
      </c>
      <c r="B469" s="103">
        <v>3</v>
      </c>
    </row>
    <row r="470" spans="1:2" outlineLevel="1" x14ac:dyDescent="0.25">
      <c r="A470" s="104" t="s">
        <v>1098</v>
      </c>
      <c r="B470" s="103">
        <v>3</v>
      </c>
    </row>
    <row r="471" spans="1:2" outlineLevel="1" x14ac:dyDescent="0.25">
      <c r="A471" s="104" t="s">
        <v>1099</v>
      </c>
      <c r="B471" s="103">
        <v>3</v>
      </c>
    </row>
    <row r="472" spans="1:2" outlineLevel="1" x14ac:dyDescent="0.25">
      <c r="A472" s="104" t="s">
        <v>1100</v>
      </c>
      <c r="B472" s="103">
        <v>3</v>
      </c>
    </row>
    <row r="473" spans="1:2" outlineLevel="1" x14ac:dyDescent="0.25">
      <c r="A473" s="104" t="s">
        <v>1101</v>
      </c>
      <c r="B473" s="103">
        <v>3</v>
      </c>
    </row>
    <row r="474" spans="1:2" outlineLevel="1" x14ac:dyDescent="0.25">
      <c r="A474" s="104" t="s">
        <v>545</v>
      </c>
      <c r="B474" s="103">
        <v>3</v>
      </c>
    </row>
    <row r="475" spans="1:2" outlineLevel="1" x14ac:dyDescent="0.25">
      <c r="A475" s="104" t="s">
        <v>547</v>
      </c>
      <c r="B475" s="103">
        <v>3</v>
      </c>
    </row>
    <row r="476" spans="1:2" outlineLevel="1" x14ac:dyDescent="0.25">
      <c r="A476" s="104" t="s">
        <v>1102</v>
      </c>
      <c r="B476" s="103">
        <v>1</v>
      </c>
    </row>
    <row r="477" spans="1:2" outlineLevel="1" x14ac:dyDescent="0.25">
      <c r="A477" s="104" t="s">
        <v>1144</v>
      </c>
      <c r="B477" s="103">
        <v>1</v>
      </c>
    </row>
    <row r="478" spans="1:2" outlineLevel="1" x14ac:dyDescent="0.25">
      <c r="A478" s="104" t="s">
        <v>1147</v>
      </c>
      <c r="B478" s="103">
        <v>1</v>
      </c>
    </row>
    <row r="479" spans="1:2" outlineLevel="1" x14ac:dyDescent="0.25">
      <c r="A479" s="104" t="s">
        <v>1148</v>
      </c>
      <c r="B479" s="103">
        <v>1</v>
      </c>
    </row>
    <row r="480" spans="1:2" outlineLevel="1" x14ac:dyDescent="0.25">
      <c r="A480" s="104" t="s">
        <v>1103</v>
      </c>
      <c r="B480" s="103">
        <v>1</v>
      </c>
    </row>
    <row r="481" spans="1:2" outlineLevel="1" x14ac:dyDescent="0.25">
      <c r="A481" s="104" t="s">
        <v>1104</v>
      </c>
      <c r="B481" s="103">
        <v>1</v>
      </c>
    </row>
    <row r="482" spans="1:2" outlineLevel="1" x14ac:dyDescent="0.25">
      <c r="A482" s="104" t="s">
        <v>1135</v>
      </c>
      <c r="B482" s="103">
        <v>1</v>
      </c>
    </row>
    <row r="483" spans="1:2" outlineLevel="1" x14ac:dyDescent="0.25">
      <c r="A483" s="104" t="s">
        <v>1105</v>
      </c>
      <c r="B483" s="103">
        <v>1</v>
      </c>
    </row>
    <row r="484" spans="1:2" outlineLevel="1" x14ac:dyDescent="0.25">
      <c r="A484" s="104" t="s">
        <v>1106</v>
      </c>
      <c r="B484" s="103">
        <v>1</v>
      </c>
    </row>
    <row r="485" spans="1:2" outlineLevel="1" x14ac:dyDescent="0.25">
      <c r="A485" s="104" t="s">
        <v>1107</v>
      </c>
      <c r="B485" s="103">
        <v>1</v>
      </c>
    </row>
    <row r="486" spans="1:2" outlineLevel="1" x14ac:dyDescent="0.25">
      <c r="A486" s="104" t="s">
        <v>1145</v>
      </c>
      <c r="B486" s="103">
        <v>1</v>
      </c>
    </row>
    <row r="487" spans="1:2" outlineLevel="1" x14ac:dyDescent="0.25">
      <c r="A487" s="104" t="s">
        <v>1146</v>
      </c>
      <c r="B487" s="103">
        <v>1</v>
      </c>
    </row>
    <row r="488" spans="1:2" outlineLevel="1" x14ac:dyDescent="0.25">
      <c r="A488" s="104" t="s">
        <v>1108</v>
      </c>
      <c r="B488" s="103">
        <v>1</v>
      </c>
    </row>
    <row r="489" spans="1:2" outlineLevel="1" x14ac:dyDescent="0.25">
      <c r="A489" s="104" t="s">
        <v>1136</v>
      </c>
      <c r="B489" s="103">
        <v>1</v>
      </c>
    </row>
    <row r="490" spans="1:2" outlineLevel="1" x14ac:dyDescent="0.25">
      <c r="A490" s="104" t="s">
        <v>1137</v>
      </c>
      <c r="B490" s="103">
        <v>1</v>
      </c>
    </row>
    <row r="491" spans="1:2" outlineLevel="1" x14ac:dyDescent="0.25">
      <c r="A491" s="104" t="s">
        <v>1138</v>
      </c>
      <c r="B491" s="103">
        <v>1</v>
      </c>
    </row>
    <row r="492" spans="1:2" outlineLevel="1" x14ac:dyDescent="0.25">
      <c r="A492" s="104" t="s">
        <v>1139</v>
      </c>
      <c r="B492" s="103">
        <v>1</v>
      </c>
    </row>
    <row r="493" spans="1:2" outlineLevel="1" x14ac:dyDescent="0.25">
      <c r="A493" s="104" t="s">
        <v>1109</v>
      </c>
      <c r="B493" s="103">
        <v>1</v>
      </c>
    </row>
    <row r="494" spans="1:2" outlineLevel="1" x14ac:dyDescent="0.25">
      <c r="A494" s="104" t="s">
        <v>1149</v>
      </c>
      <c r="B494" s="103">
        <v>2</v>
      </c>
    </row>
    <row r="495" spans="1:2" outlineLevel="1" x14ac:dyDescent="0.25">
      <c r="A495" s="104" t="s">
        <v>1110</v>
      </c>
      <c r="B495" s="103">
        <v>2</v>
      </c>
    </row>
    <row r="496" spans="1:2" outlineLevel="1" x14ac:dyDescent="0.25">
      <c r="A496" s="104" t="s">
        <v>1111</v>
      </c>
      <c r="B496" s="103">
        <v>2</v>
      </c>
    </row>
    <row r="497" spans="1:2" outlineLevel="1" x14ac:dyDescent="0.25">
      <c r="A497" s="104" t="s">
        <v>1112</v>
      </c>
      <c r="B497" s="103">
        <v>2</v>
      </c>
    </row>
    <row r="498" spans="1:2" outlineLevel="1" x14ac:dyDescent="0.25">
      <c r="A498" s="104" t="s">
        <v>1113</v>
      </c>
      <c r="B498" s="103">
        <v>2</v>
      </c>
    </row>
    <row r="499" spans="1:2" outlineLevel="1" x14ac:dyDescent="0.25">
      <c r="A499" s="104" t="s">
        <v>1114</v>
      </c>
      <c r="B499" s="103">
        <v>2</v>
      </c>
    </row>
    <row r="500" spans="1:2" outlineLevel="1" x14ac:dyDescent="0.25">
      <c r="A500" s="104" t="s">
        <v>1115</v>
      </c>
      <c r="B500" s="103">
        <v>2</v>
      </c>
    </row>
    <row r="501" spans="1:2" outlineLevel="1" x14ac:dyDescent="0.25">
      <c r="A501" s="104" t="s">
        <v>1116</v>
      </c>
      <c r="B501" s="103">
        <v>2</v>
      </c>
    </row>
    <row r="502" spans="1:2" outlineLevel="1" x14ac:dyDescent="0.25">
      <c r="A502" s="104" t="s">
        <v>1150</v>
      </c>
      <c r="B502" s="103">
        <v>2</v>
      </c>
    </row>
    <row r="503" spans="1:2" outlineLevel="1" x14ac:dyDescent="0.25">
      <c r="A503" s="104" t="s">
        <v>1151</v>
      </c>
      <c r="B503" s="103">
        <v>2</v>
      </c>
    </row>
    <row r="504" spans="1:2" outlineLevel="1" x14ac:dyDescent="0.25">
      <c r="A504" s="104" t="s">
        <v>1152</v>
      </c>
      <c r="B504" s="103">
        <v>2</v>
      </c>
    </row>
    <row r="505" spans="1:2" outlineLevel="1" x14ac:dyDescent="0.25">
      <c r="A505" s="104" t="s">
        <v>550</v>
      </c>
      <c r="B505" s="103">
        <v>2</v>
      </c>
    </row>
    <row r="506" spans="1:2" outlineLevel="1" x14ac:dyDescent="0.25">
      <c r="A506" s="104" t="s">
        <v>548</v>
      </c>
      <c r="B506" s="103">
        <v>2</v>
      </c>
    </row>
    <row r="507" spans="1:2" outlineLevel="1" x14ac:dyDescent="0.25">
      <c r="A507" s="104" t="s">
        <v>1117</v>
      </c>
      <c r="B507" s="103">
        <v>2</v>
      </c>
    </row>
    <row r="508" spans="1:2" outlineLevel="1" x14ac:dyDescent="0.25">
      <c r="A508" s="104" t="s">
        <v>1140</v>
      </c>
      <c r="B508" s="103">
        <v>2</v>
      </c>
    </row>
    <row r="509" spans="1:2" outlineLevel="1" x14ac:dyDescent="0.25">
      <c r="A509" s="104" t="s">
        <v>1118</v>
      </c>
      <c r="B509" s="103">
        <v>2</v>
      </c>
    </row>
    <row r="510" spans="1:2" outlineLevel="1" x14ac:dyDescent="0.25">
      <c r="A510" s="104" t="s">
        <v>1153</v>
      </c>
      <c r="B510" s="103">
        <v>2</v>
      </c>
    </row>
    <row r="511" spans="1:2" outlineLevel="1" x14ac:dyDescent="0.25">
      <c r="A511" s="104" t="s">
        <v>1119</v>
      </c>
      <c r="B511" s="103">
        <v>2</v>
      </c>
    </row>
    <row r="512" spans="1:2" outlineLevel="1" x14ac:dyDescent="0.25">
      <c r="A512" s="104" t="s">
        <v>1141</v>
      </c>
      <c r="B512" s="103">
        <v>2</v>
      </c>
    </row>
    <row r="513" spans="1:2" outlineLevel="1" x14ac:dyDescent="0.25">
      <c r="A513" s="104" t="s">
        <v>1120</v>
      </c>
      <c r="B513" s="103">
        <v>2</v>
      </c>
    </row>
    <row r="514" spans="1:2" outlineLevel="1" x14ac:dyDescent="0.25">
      <c r="A514" s="104" t="s">
        <v>1154</v>
      </c>
      <c r="B514" s="103">
        <v>2</v>
      </c>
    </row>
    <row r="515" spans="1:2" outlineLevel="1" x14ac:dyDescent="0.25">
      <c r="A515" s="104" t="s">
        <v>1155</v>
      </c>
      <c r="B515" s="103">
        <v>2</v>
      </c>
    </row>
    <row r="516" spans="1:2" outlineLevel="1" x14ac:dyDescent="0.25">
      <c r="A516" s="104" t="s">
        <v>1121</v>
      </c>
      <c r="B516" s="103">
        <v>2</v>
      </c>
    </row>
    <row r="517" spans="1:2" outlineLevel="1" x14ac:dyDescent="0.25">
      <c r="A517" s="104" t="s">
        <v>1122</v>
      </c>
      <c r="B517" s="103">
        <v>2</v>
      </c>
    </row>
    <row r="518" spans="1:2" outlineLevel="1" x14ac:dyDescent="0.25">
      <c r="A518" s="104" t="s">
        <v>1156</v>
      </c>
      <c r="B518" s="103">
        <v>2</v>
      </c>
    </row>
    <row r="519" spans="1:2" outlineLevel="1" x14ac:dyDescent="0.25">
      <c r="A519" s="104" t="s">
        <v>1157</v>
      </c>
      <c r="B519" s="103">
        <v>3</v>
      </c>
    </row>
    <row r="520" spans="1:2" outlineLevel="1" x14ac:dyDescent="0.25">
      <c r="A520" s="104" t="s">
        <v>1158</v>
      </c>
      <c r="B520" s="103">
        <v>3</v>
      </c>
    </row>
    <row r="521" spans="1:2" outlineLevel="1" x14ac:dyDescent="0.25">
      <c r="A521" s="104" t="s">
        <v>1142</v>
      </c>
      <c r="B521" s="103">
        <v>3</v>
      </c>
    </row>
    <row r="522" spans="1:2" outlineLevel="1" x14ac:dyDescent="0.25">
      <c r="A522" s="104" t="s">
        <v>549</v>
      </c>
      <c r="B522" s="103">
        <v>3</v>
      </c>
    </row>
    <row r="523" spans="1:2" outlineLevel="1" x14ac:dyDescent="0.25">
      <c r="A523" s="104" t="s">
        <v>1123</v>
      </c>
      <c r="B523" s="103">
        <v>3</v>
      </c>
    </row>
    <row r="524" spans="1:2" outlineLevel="1" x14ac:dyDescent="0.25">
      <c r="A524" s="104" t="s">
        <v>1124</v>
      </c>
      <c r="B524" s="103">
        <v>3</v>
      </c>
    </row>
    <row r="525" spans="1:2" outlineLevel="1" x14ac:dyDescent="0.25">
      <c r="A525" s="104" t="s">
        <v>1125</v>
      </c>
      <c r="B525" s="103">
        <v>3</v>
      </c>
    </row>
    <row r="526" spans="1:2" outlineLevel="1" x14ac:dyDescent="0.25">
      <c r="A526" s="104" t="s">
        <v>1126</v>
      </c>
      <c r="B526" s="103">
        <v>3</v>
      </c>
    </row>
    <row r="527" spans="1:2" outlineLevel="1" x14ac:dyDescent="0.25">
      <c r="A527" s="104" t="s">
        <v>1127</v>
      </c>
      <c r="B527" s="103">
        <v>3</v>
      </c>
    </row>
    <row r="528" spans="1:2" outlineLevel="1" x14ac:dyDescent="0.25">
      <c r="A528" s="104" t="s">
        <v>1128</v>
      </c>
      <c r="B528" s="103">
        <v>3</v>
      </c>
    </row>
    <row r="529" spans="1:2" outlineLevel="1" x14ac:dyDescent="0.25">
      <c r="A529" s="104" t="s">
        <v>1129</v>
      </c>
      <c r="B529" s="103">
        <v>3</v>
      </c>
    </row>
    <row r="530" spans="1:2" outlineLevel="1" x14ac:dyDescent="0.25">
      <c r="A530" s="104" t="s">
        <v>552</v>
      </c>
      <c r="B530" s="103">
        <v>3</v>
      </c>
    </row>
    <row r="531" spans="1:2" outlineLevel="1" x14ac:dyDescent="0.25">
      <c r="A531" s="104" t="s">
        <v>1130</v>
      </c>
      <c r="B531" s="103">
        <v>3</v>
      </c>
    </row>
    <row r="532" spans="1:2" outlineLevel="1" x14ac:dyDescent="0.25">
      <c r="A532" s="104" t="s">
        <v>1159</v>
      </c>
      <c r="B532" s="103">
        <v>3</v>
      </c>
    </row>
    <row r="533" spans="1:2" outlineLevel="1" x14ac:dyDescent="0.25">
      <c r="A533" s="104" t="s">
        <v>1143</v>
      </c>
      <c r="B533" s="103">
        <v>3</v>
      </c>
    </row>
    <row r="534" spans="1:2" outlineLevel="1" x14ac:dyDescent="0.25">
      <c r="A534" s="104" t="s">
        <v>1131</v>
      </c>
      <c r="B534" s="103">
        <v>3</v>
      </c>
    </row>
    <row r="535" spans="1:2" outlineLevel="1" x14ac:dyDescent="0.25">
      <c r="A535" s="104" t="s">
        <v>1132</v>
      </c>
      <c r="B535" s="103">
        <v>3</v>
      </c>
    </row>
    <row r="536" spans="1:2" outlineLevel="1" x14ac:dyDescent="0.25">
      <c r="A536" s="104" t="s">
        <v>1133</v>
      </c>
      <c r="B536" s="103">
        <v>3</v>
      </c>
    </row>
    <row r="537" spans="1:2" outlineLevel="1" x14ac:dyDescent="0.25">
      <c r="A537" s="104" t="s">
        <v>1134</v>
      </c>
      <c r="B537" s="103">
        <v>3</v>
      </c>
    </row>
    <row r="538" spans="1:2" outlineLevel="1" x14ac:dyDescent="0.25">
      <c r="A538" s="104" t="s">
        <v>551</v>
      </c>
      <c r="B538" s="103">
        <v>3</v>
      </c>
    </row>
    <row r="539" spans="1:2" x14ac:dyDescent="0.25">
      <c r="A539" s="106" t="s">
        <v>1160</v>
      </c>
      <c r="B539" s="103">
        <v>3</v>
      </c>
    </row>
    <row r="540" spans="1:2" x14ac:dyDescent="0.25">
      <c r="A540" s="104" t="e">
        <f>Character_Builder!#REF!</f>
        <v>#REF!</v>
      </c>
      <c r="B540" s="103" t="e">
        <f>Character_Builder!#REF!</f>
        <v>#REF!</v>
      </c>
    </row>
    <row r="541" spans="1:2" x14ac:dyDescent="0.25">
      <c r="A541" s="104" t="e">
        <f>Character_Builder!#REF!</f>
        <v>#REF!</v>
      </c>
      <c r="B541" s="103" t="e">
        <f>Character_Builder!#REF!</f>
        <v>#REF!</v>
      </c>
    </row>
    <row r="542" spans="1:2" x14ac:dyDescent="0.25">
      <c r="A542" s="104" t="e">
        <f>Character_Builder!#REF!</f>
        <v>#REF!</v>
      </c>
      <c r="B542" s="103" t="e">
        <f>Character_Builder!#REF!</f>
        <v>#REF!</v>
      </c>
    </row>
    <row r="543" spans="1:2" x14ac:dyDescent="0.25">
      <c r="A543" s="104" t="e">
        <f>Character_Builder!#REF!</f>
        <v>#REF!</v>
      </c>
      <c r="B543" s="103" t="e">
        <f>Character_Builder!#REF!</f>
        <v>#REF!</v>
      </c>
    </row>
    <row r="544" spans="1:2" x14ac:dyDescent="0.25">
      <c r="A544" s="104" t="e">
        <f>Character_Builder!#REF!</f>
        <v>#REF!</v>
      </c>
      <c r="B544" s="103" t="e">
        <f>Character_Builder!#REF!</f>
        <v>#REF!</v>
      </c>
    </row>
    <row r="545" spans="1:2" x14ac:dyDescent="0.25">
      <c r="A545" s="104" t="s">
        <v>554</v>
      </c>
      <c r="B545" s="103"/>
    </row>
  </sheetData>
  <sheetProtection algorithmName="SHA-512" hashValue="HPaKnBc6gXUPPXJQ2OEAtkbPcqGDC32TW/RxPawFTPLMTPAYVKE2hMJP3mVkU7/ACsZUIuR6/vrhAoig0WWO3w==" saltValue="pUQWGSMvY82Ckg1CLGzHlw==" spinCount="100000" sheet="1" objects="1" scenarios="1"/>
  <autoFilter ref="A1:B392"/>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O58"/>
  <sheetViews>
    <sheetView zoomScale="70" zoomScaleNormal="70" workbookViewId="0">
      <pane ySplit="1" topLeftCell="A6" activePane="bottomLeft" state="frozen"/>
      <selection activeCell="BX1" sqref="BX1"/>
      <selection pane="bottomLeft" activeCell="H14" sqref="H14"/>
    </sheetView>
  </sheetViews>
  <sheetFormatPr defaultRowHeight="15" x14ac:dyDescent="0.25"/>
  <cols>
    <col min="1" max="1" width="29.28515625" customWidth="1"/>
    <col min="2" max="2" width="9.140625" customWidth="1"/>
    <col min="4" max="4" width="22" customWidth="1"/>
    <col min="5" max="5" width="9.140625" customWidth="1"/>
    <col min="6" max="6" width="15.7109375" bestFit="1" customWidth="1"/>
    <col min="7" max="7" width="32.42578125" customWidth="1"/>
    <col min="8" max="8" width="9.140625" customWidth="1"/>
    <col min="10" max="11" width="13.85546875" customWidth="1"/>
    <col min="12" max="12" width="14.28515625" bestFit="1" customWidth="1"/>
    <col min="13" max="14" width="9.140625" customWidth="1"/>
  </cols>
  <sheetData>
    <row r="1" spans="1:15" ht="15.75" x14ac:dyDescent="0.25">
      <c r="A1" s="1" t="s">
        <v>1</v>
      </c>
      <c r="B1" s="3" t="s">
        <v>0</v>
      </c>
      <c r="C1" s="4" t="s">
        <v>1</v>
      </c>
      <c r="D1" s="1" t="s">
        <v>2</v>
      </c>
      <c r="E1" s="3" t="s">
        <v>0</v>
      </c>
      <c r="F1" s="1" t="s">
        <v>2</v>
      </c>
      <c r="G1" s="1" t="s">
        <v>332</v>
      </c>
      <c r="H1" s="3" t="s">
        <v>0</v>
      </c>
      <c r="I1" s="4" t="s">
        <v>332</v>
      </c>
      <c r="J1" s="3" t="s">
        <v>334</v>
      </c>
      <c r="K1" s="3" t="s">
        <v>0</v>
      </c>
      <c r="L1" s="3" t="s">
        <v>752</v>
      </c>
      <c r="M1" s="3" t="s">
        <v>1015</v>
      </c>
      <c r="N1" s="3" t="s">
        <v>0</v>
      </c>
      <c r="O1" s="3" t="s">
        <v>1016</v>
      </c>
    </row>
    <row r="2" spans="1:15" ht="15.75" x14ac:dyDescent="0.25">
      <c r="A2" s="7" t="s">
        <v>101</v>
      </c>
      <c r="B2" s="2">
        <v>1</v>
      </c>
      <c r="C2" s="2"/>
      <c r="D2" s="7" t="s">
        <v>112</v>
      </c>
      <c r="E2" s="2">
        <v>1</v>
      </c>
      <c r="F2" s="7"/>
      <c r="G2" s="78" t="s">
        <v>130</v>
      </c>
      <c r="H2" s="75">
        <v>1</v>
      </c>
      <c r="J2" s="1" t="s">
        <v>753</v>
      </c>
      <c r="K2" s="7">
        <v>1</v>
      </c>
      <c r="M2" t="s">
        <v>1017</v>
      </c>
      <c r="N2">
        <v>1</v>
      </c>
    </row>
    <row r="3" spans="1:15" ht="15.75" x14ac:dyDescent="0.25">
      <c r="A3" s="7" t="s">
        <v>102</v>
      </c>
      <c r="B3" s="2">
        <v>1</v>
      </c>
      <c r="C3" s="2"/>
      <c r="D3" s="7" t="s">
        <v>113</v>
      </c>
      <c r="E3" s="2">
        <v>1</v>
      </c>
      <c r="F3" s="7"/>
      <c r="G3" s="78" t="s">
        <v>134</v>
      </c>
      <c r="H3" s="75">
        <v>2</v>
      </c>
      <c r="J3" s="1" t="s">
        <v>754</v>
      </c>
      <c r="K3" s="7">
        <v>1</v>
      </c>
      <c r="M3" t="s">
        <v>1018</v>
      </c>
      <c r="N3">
        <v>1</v>
      </c>
    </row>
    <row r="4" spans="1:15" ht="15.75" x14ac:dyDescent="0.25">
      <c r="A4" s="7" t="s">
        <v>103</v>
      </c>
      <c r="B4" s="2">
        <v>1</v>
      </c>
      <c r="C4" s="2"/>
      <c r="D4" s="7" t="s">
        <v>114</v>
      </c>
      <c r="E4" s="2">
        <v>1</v>
      </c>
      <c r="F4" s="7"/>
      <c r="G4" s="78" t="s">
        <v>136</v>
      </c>
      <c r="H4" s="75">
        <v>3</v>
      </c>
      <c r="J4" s="1" t="s">
        <v>755</v>
      </c>
      <c r="K4" s="7">
        <v>1</v>
      </c>
      <c r="M4" t="s">
        <v>1019</v>
      </c>
      <c r="N4">
        <v>1</v>
      </c>
    </row>
    <row r="5" spans="1:15" ht="15.75" x14ac:dyDescent="0.25">
      <c r="A5" s="7" t="s">
        <v>104</v>
      </c>
      <c r="B5" s="2">
        <v>1</v>
      </c>
      <c r="C5" s="2"/>
      <c r="D5" s="7" t="s">
        <v>115</v>
      </c>
      <c r="E5" s="2">
        <v>1</v>
      </c>
      <c r="F5" s="7"/>
      <c r="G5" s="78" t="s">
        <v>139</v>
      </c>
      <c r="H5" s="75">
        <v>4</v>
      </c>
      <c r="J5" s="1" t="s">
        <v>756</v>
      </c>
      <c r="K5" s="7">
        <v>1</v>
      </c>
      <c r="M5" t="s">
        <v>1020</v>
      </c>
      <c r="N5">
        <v>1</v>
      </c>
    </row>
    <row r="6" spans="1:15" ht="15.75" x14ac:dyDescent="0.25">
      <c r="A6" s="7" t="s">
        <v>105</v>
      </c>
      <c r="B6" s="2">
        <v>2</v>
      </c>
      <c r="C6" s="2"/>
      <c r="D6" s="7" t="s">
        <v>116</v>
      </c>
      <c r="E6" s="2">
        <v>1</v>
      </c>
      <c r="F6" s="7"/>
      <c r="G6" s="78" t="s">
        <v>143</v>
      </c>
      <c r="H6" s="75">
        <v>5</v>
      </c>
      <c r="J6" s="1" t="s">
        <v>757</v>
      </c>
      <c r="K6" s="7">
        <v>1</v>
      </c>
      <c r="M6" t="s">
        <v>1032</v>
      </c>
      <c r="N6">
        <v>1</v>
      </c>
    </row>
    <row r="7" spans="1:15" ht="15.75" x14ac:dyDescent="0.25">
      <c r="A7" s="7" t="s">
        <v>106</v>
      </c>
      <c r="B7" s="2">
        <v>2</v>
      </c>
      <c r="C7" s="2"/>
      <c r="D7" s="7" t="s">
        <v>117</v>
      </c>
      <c r="E7" s="2">
        <v>1</v>
      </c>
      <c r="F7" s="7"/>
      <c r="G7" s="74" t="s">
        <v>846</v>
      </c>
      <c r="H7" s="75">
        <v>1</v>
      </c>
      <c r="J7" s="1" t="s">
        <v>758</v>
      </c>
      <c r="K7" s="7">
        <v>1</v>
      </c>
      <c r="M7" t="s">
        <v>1021</v>
      </c>
      <c r="N7">
        <v>1</v>
      </c>
    </row>
    <row r="8" spans="1:15" ht="15.75" x14ac:dyDescent="0.25">
      <c r="A8" s="7" t="s">
        <v>107</v>
      </c>
      <c r="B8" s="2">
        <v>2</v>
      </c>
      <c r="C8" s="2"/>
      <c r="D8" s="27" t="s">
        <v>124</v>
      </c>
      <c r="E8" s="8">
        <v>2</v>
      </c>
      <c r="F8" s="7"/>
      <c r="G8" s="74" t="s">
        <v>845</v>
      </c>
      <c r="H8" s="75">
        <v>2</v>
      </c>
      <c r="J8" s="42" t="s">
        <v>759</v>
      </c>
      <c r="K8" s="7">
        <v>1</v>
      </c>
      <c r="M8" t="s">
        <v>1022</v>
      </c>
      <c r="N8">
        <v>1</v>
      </c>
    </row>
    <row r="9" spans="1:15" ht="15.75" x14ac:dyDescent="0.25">
      <c r="A9" s="7" t="s">
        <v>108</v>
      </c>
      <c r="B9" s="2">
        <v>2</v>
      </c>
      <c r="C9" s="2"/>
      <c r="D9" s="27" t="s">
        <v>125</v>
      </c>
      <c r="E9" s="8">
        <v>2</v>
      </c>
      <c r="F9" s="7"/>
      <c r="G9" s="74" t="s">
        <v>847</v>
      </c>
      <c r="H9" s="75">
        <v>3</v>
      </c>
      <c r="J9" s="1" t="s">
        <v>760</v>
      </c>
      <c r="K9" s="7">
        <v>2</v>
      </c>
      <c r="M9" t="s">
        <v>1023</v>
      </c>
      <c r="N9">
        <v>1</v>
      </c>
    </row>
    <row r="10" spans="1:15" ht="15.75" x14ac:dyDescent="0.25">
      <c r="A10" s="7" t="s">
        <v>109</v>
      </c>
      <c r="B10" s="2">
        <v>3</v>
      </c>
      <c r="C10" s="2"/>
      <c r="D10" s="27" t="s">
        <v>126</v>
      </c>
      <c r="E10" s="8">
        <v>2</v>
      </c>
      <c r="F10" s="7"/>
      <c r="G10" s="74" t="s">
        <v>848</v>
      </c>
      <c r="H10" s="75">
        <v>4</v>
      </c>
      <c r="J10" s="1" t="s">
        <v>761</v>
      </c>
      <c r="K10" s="7">
        <v>2</v>
      </c>
      <c r="M10" t="s">
        <v>1024</v>
      </c>
      <c r="N10">
        <v>1</v>
      </c>
    </row>
    <row r="11" spans="1:15" ht="15.75" x14ac:dyDescent="0.25">
      <c r="A11" s="7" t="s">
        <v>110</v>
      </c>
      <c r="B11" s="2">
        <v>3</v>
      </c>
      <c r="C11" s="2"/>
      <c r="D11" s="27" t="s">
        <v>127</v>
      </c>
      <c r="E11" s="8">
        <v>2</v>
      </c>
      <c r="F11" s="7"/>
      <c r="G11" s="78" t="s">
        <v>849</v>
      </c>
      <c r="H11" s="75">
        <v>1</v>
      </c>
      <c r="J11" s="1" t="s">
        <v>762</v>
      </c>
      <c r="K11" s="7">
        <v>2</v>
      </c>
      <c r="M11" t="s">
        <v>1025</v>
      </c>
      <c r="N11">
        <v>1</v>
      </c>
    </row>
    <row r="12" spans="1:15" ht="15.75" x14ac:dyDescent="0.25">
      <c r="A12" s="7" t="s">
        <v>923</v>
      </c>
      <c r="B12" s="2">
        <v>3</v>
      </c>
      <c r="C12" s="2"/>
      <c r="D12" s="27" t="s">
        <v>128</v>
      </c>
      <c r="E12" s="8">
        <v>2</v>
      </c>
      <c r="F12" s="7"/>
      <c r="G12" s="78" t="s">
        <v>850</v>
      </c>
      <c r="H12" s="75">
        <v>2</v>
      </c>
      <c r="J12" s="1" t="s">
        <v>763</v>
      </c>
      <c r="K12" s="7">
        <v>2</v>
      </c>
      <c r="M12" t="s">
        <v>1026</v>
      </c>
      <c r="N12">
        <v>1</v>
      </c>
    </row>
    <row r="13" spans="1:15" ht="15.75" x14ac:dyDescent="0.25">
      <c r="A13" s="7" t="s">
        <v>111</v>
      </c>
      <c r="B13" s="2">
        <v>3</v>
      </c>
      <c r="C13" s="2"/>
      <c r="D13" s="27" t="s">
        <v>129</v>
      </c>
      <c r="E13" s="8">
        <v>2</v>
      </c>
      <c r="F13" s="7"/>
      <c r="G13" s="78" t="s">
        <v>851</v>
      </c>
      <c r="H13" s="75">
        <v>3</v>
      </c>
      <c r="J13" s="1" t="s">
        <v>764</v>
      </c>
      <c r="K13" s="7">
        <v>2</v>
      </c>
      <c r="M13" t="s">
        <v>1027</v>
      </c>
      <c r="N13">
        <v>1</v>
      </c>
    </row>
    <row r="14" spans="1:15" ht="15.75" x14ac:dyDescent="0.25">
      <c r="A14" s="7"/>
      <c r="B14" s="2"/>
      <c r="C14" s="2"/>
      <c r="D14" s="27" t="s">
        <v>118</v>
      </c>
      <c r="E14" s="8">
        <v>2</v>
      </c>
      <c r="F14" s="7"/>
      <c r="G14" s="78" t="s">
        <v>852</v>
      </c>
      <c r="H14" s="75">
        <v>4</v>
      </c>
      <c r="J14" s="1" t="s">
        <v>765</v>
      </c>
      <c r="K14" s="7">
        <v>2</v>
      </c>
      <c r="M14" t="s">
        <v>1028</v>
      </c>
      <c r="N14">
        <v>2</v>
      </c>
    </row>
    <row r="15" spans="1:15" ht="15.75" x14ac:dyDescent="0.25">
      <c r="A15" s="7"/>
      <c r="B15" s="2"/>
      <c r="C15" s="2"/>
      <c r="D15" s="27" t="s">
        <v>119</v>
      </c>
      <c r="E15" s="8">
        <v>2</v>
      </c>
      <c r="F15" s="7"/>
      <c r="G15" s="74" t="s">
        <v>131</v>
      </c>
      <c r="H15" s="75">
        <v>1</v>
      </c>
      <c r="J15" s="42" t="s">
        <v>766</v>
      </c>
      <c r="K15" s="7">
        <v>2</v>
      </c>
      <c r="M15" t="s">
        <v>1029</v>
      </c>
      <c r="N15">
        <v>2</v>
      </c>
    </row>
    <row r="16" spans="1:15" ht="15.75" x14ac:dyDescent="0.25">
      <c r="C16" s="2"/>
      <c r="D16" s="7" t="s">
        <v>924</v>
      </c>
      <c r="E16" s="2">
        <v>3</v>
      </c>
      <c r="F16" s="7"/>
      <c r="G16" s="74" t="s">
        <v>133</v>
      </c>
      <c r="H16" s="75">
        <v>2</v>
      </c>
      <c r="J16" s="1" t="s">
        <v>767</v>
      </c>
      <c r="K16" s="7">
        <v>3</v>
      </c>
      <c r="M16" t="s">
        <v>1030</v>
      </c>
      <c r="N16">
        <v>2</v>
      </c>
    </row>
    <row r="17" spans="1:14" ht="15.75" x14ac:dyDescent="0.25">
      <c r="A17" s="49"/>
      <c r="B17" s="2"/>
      <c r="C17" s="2"/>
      <c r="D17" s="7" t="s">
        <v>925</v>
      </c>
      <c r="E17" s="2">
        <v>3</v>
      </c>
      <c r="F17" s="7"/>
      <c r="G17" s="74" t="s">
        <v>137</v>
      </c>
      <c r="H17" s="75">
        <v>3</v>
      </c>
      <c r="J17" s="1" t="s">
        <v>768</v>
      </c>
      <c r="K17" s="7">
        <v>3</v>
      </c>
      <c r="M17" t="s">
        <v>1031</v>
      </c>
      <c r="N17">
        <v>2</v>
      </c>
    </row>
    <row r="18" spans="1:14" ht="15.75" x14ac:dyDescent="0.25">
      <c r="A18" s="49"/>
      <c r="B18" s="2"/>
      <c r="C18" s="2"/>
      <c r="D18" s="7" t="s">
        <v>122</v>
      </c>
      <c r="E18" s="2">
        <v>3</v>
      </c>
      <c r="F18" s="7"/>
      <c r="G18" s="74" t="s">
        <v>140</v>
      </c>
      <c r="H18" s="75">
        <v>4</v>
      </c>
      <c r="J18" s="1" t="s">
        <v>769</v>
      </c>
      <c r="K18" s="7">
        <v>3</v>
      </c>
      <c r="M18" t="s">
        <v>1033</v>
      </c>
      <c r="N18">
        <v>2</v>
      </c>
    </row>
    <row r="19" spans="1:14" ht="15.75" x14ac:dyDescent="0.25">
      <c r="A19" s="7"/>
      <c r="B19" s="2"/>
      <c r="C19" s="2"/>
      <c r="D19" s="7" t="s">
        <v>123</v>
      </c>
      <c r="E19" s="2">
        <v>3</v>
      </c>
      <c r="F19" s="7"/>
      <c r="G19" s="78" t="s">
        <v>132</v>
      </c>
      <c r="H19" s="75">
        <v>1</v>
      </c>
      <c r="J19" s="1" t="s">
        <v>770</v>
      </c>
      <c r="K19" s="7">
        <v>3</v>
      </c>
      <c r="M19" t="s">
        <v>1034</v>
      </c>
      <c r="N19">
        <v>2</v>
      </c>
    </row>
    <row r="20" spans="1:14" ht="15.75" x14ac:dyDescent="0.25">
      <c r="A20" s="49"/>
      <c r="B20" s="2"/>
      <c r="C20" s="2"/>
      <c r="D20" s="7" t="s">
        <v>120</v>
      </c>
      <c r="E20" s="2">
        <v>3</v>
      </c>
      <c r="F20" s="7"/>
      <c r="G20" s="78" t="s">
        <v>135</v>
      </c>
      <c r="H20" s="75">
        <v>2</v>
      </c>
      <c r="J20" s="1" t="s">
        <v>771</v>
      </c>
      <c r="K20" s="7">
        <v>3</v>
      </c>
      <c r="M20" t="s">
        <v>1035</v>
      </c>
      <c r="N20">
        <v>2</v>
      </c>
    </row>
    <row r="21" spans="1:14" ht="15.75" x14ac:dyDescent="0.25">
      <c r="A21" s="49"/>
      <c r="B21" s="2"/>
      <c r="C21" s="2"/>
      <c r="D21" s="7" t="s">
        <v>121</v>
      </c>
      <c r="E21" s="2">
        <v>3</v>
      </c>
      <c r="F21" s="7"/>
      <c r="G21" s="78" t="s">
        <v>138</v>
      </c>
      <c r="H21" s="75">
        <v>3</v>
      </c>
      <c r="J21" s="1" t="s">
        <v>772</v>
      </c>
      <c r="K21" s="7">
        <v>3</v>
      </c>
      <c r="M21" t="s">
        <v>1036</v>
      </c>
      <c r="N21">
        <v>2</v>
      </c>
    </row>
    <row r="22" spans="1:14" ht="15.75" x14ac:dyDescent="0.25">
      <c r="A22" s="49"/>
      <c r="B22" s="2"/>
      <c r="C22" s="7"/>
      <c r="F22" s="7"/>
      <c r="G22" s="78" t="s">
        <v>141</v>
      </c>
      <c r="H22" s="75">
        <v>4</v>
      </c>
      <c r="J22" s="42" t="s">
        <v>773</v>
      </c>
      <c r="K22" s="7">
        <v>3</v>
      </c>
      <c r="M22" t="s">
        <v>1037</v>
      </c>
      <c r="N22">
        <v>2</v>
      </c>
    </row>
    <row r="23" spans="1:14" ht="15.75" x14ac:dyDescent="0.25">
      <c r="B23" s="7"/>
      <c r="C23" s="7"/>
      <c r="F23" s="7"/>
      <c r="G23" s="78" t="s">
        <v>142</v>
      </c>
      <c r="H23" s="75">
        <v>5</v>
      </c>
      <c r="J23" s="1" t="s">
        <v>1161</v>
      </c>
      <c r="K23" s="7">
        <v>1</v>
      </c>
      <c r="M23" t="s">
        <v>1038</v>
      </c>
      <c r="N23">
        <v>2</v>
      </c>
    </row>
    <row r="24" spans="1:14" ht="15.75" x14ac:dyDescent="0.25">
      <c r="A24" s="48"/>
      <c r="B24" s="7"/>
      <c r="C24" s="7"/>
      <c r="F24" s="7"/>
      <c r="G24" s="74" t="s">
        <v>452</v>
      </c>
      <c r="H24" s="75">
        <v>1</v>
      </c>
      <c r="J24" s="1" t="s">
        <v>1162</v>
      </c>
      <c r="K24" s="7">
        <v>1</v>
      </c>
      <c r="M24" t="s">
        <v>1039</v>
      </c>
      <c r="N24">
        <v>2</v>
      </c>
    </row>
    <row r="25" spans="1:14" ht="15.75" x14ac:dyDescent="0.25">
      <c r="B25" s="7"/>
      <c r="C25" s="7"/>
      <c r="F25" s="7"/>
      <c r="G25" s="74" t="s">
        <v>582</v>
      </c>
      <c r="H25" s="75">
        <v>2</v>
      </c>
      <c r="J25" s="1" t="s">
        <v>1163</v>
      </c>
      <c r="K25" s="7">
        <v>1</v>
      </c>
      <c r="M25" t="s">
        <v>1040</v>
      </c>
      <c r="N25">
        <v>2</v>
      </c>
    </row>
    <row r="26" spans="1:14" ht="15.75" x14ac:dyDescent="0.25">
      <c r="B26" s="7"/>
      <c r="C26" s="7"/>
      <c r="F26" s="7"/>
      <c r="G26" s="74" t="s">
        <v>453</v>
      </c>
      <c r="H26" s="75">
        <v>3</v>
      </c>
      <c r="J26" s="1" t="s">
        <v>1164</v>
      </c>
      <c r="K26" s="7">
        <v>2</v>
      </c>
      <c r="M26" t="s">
        <v>1041</v>
      </c>
      <c r="N26">
        <v>3</v>
      </c>
    </row>
    <row r="27" spans="1:14" ht="15.75" x14ac:dyDescent="0.25">
      <c r="B27" s="7"/>
      <c r="C27" s="7"/>
      <c r="F27" s="7"/>
      <c r="G27" s="74" t="s">
        <v>454</v>
      </c>
      <c r="H27" s="75">
        <v>4</v>
      </c>
      <c r="J27" s="1" t="s">
        <v>1165</v>
      </c>
      <c r="K27" s="7">
        <v>2</v>
      </c>
      <c r="M27" t="s">
        <v>1042</v>
      </c>
      <c r="N27">
        <v>3</v>
      </c>
    </row>
    <row r="28" spans="1:14" ht="15.75" x14ac:dyDescent="0.25">
      <c r="B28" s="7"/>
      <c r="C28" s="7"/>
      <c r="F28" s="7"/>
      <c r="J28" s="1" t="s">
        <v>1166</v>
      </c>
      <c r="K28" s="7">
        <v>2</v>
      </c>
      <c r="M28" t="s">
        <v>1043</v>
      </c>
      <c r="N28">
        <v>3</v>
      </c>
    </row>
    <row r="29" spans="1:14" ht="15.75" x14ac:dyDescent="0.25">
      <c r="B29" s="7"/>
      <c r="C29" s="7"/>
      <c r="D29" s="7"/>
      <c r="E29" s="2"/>
      <c r="F29" s="7"/>
      <c r="J29" s="1" t="s">
        <v>1167</v>
      </c>
      <c r="K29" s="7">
        <v>3</v>
      </c>
      <c r="M29" t="s">
        <v>1044</v>
      </c>
      <c r="N29">
        <v>3</v>
      </c>
    </row>
    <row r="30" spans="1:14" ht="15.75" x14ac:dyDescent="0.25">
      <c r="B30" s="7"/>
      <c r="C30" s="7"/>
      <c r="D30" s="7"/>
      <c r="E30" s="2"/>
      <c r="F30" s="7"/>
      <c r="J30" s="1" t="s">
        <v>1168</v>
      </c>
      <c r="K30" s="7">
        <v>3</v>
      </c>
      <c r="M30" t="s">
        <v>1045</v>
      </c>
      <c r="N30">
        <v>3</v>
      </c>
    </row>
    <row r="31" spans="1:14" ht="15.75" x14ac:dyDescent="0.25">
      <c r="B31" s="7"/>
      <c r="C31" s="7"/>
      <c r="D31" s="7"/>
      <c r="E31" s="2"/>
      <c r="J31" s="1" t="s">
        <v>1169</v>
      </c>
      <c r="K31" s="7">
        <v>3</v>
      </c>
      <c r="M31" t="s">
        <v>1046</v>
      </c>
      <c r="N31">
        <v>3</v>
      </c>
    </row>
    <row r="32" spans="1:14" ht="15.75" x14ac:dyDescent="0.25">
      <c r="B32" s="7"/>
      <c r="C32" s="7"/>
      <c r="D32" s="7"/>
      <c r="E32" s="2"/>
      <c r="J32" s="1" t="s">
        <v>1170</v>
      </c>
      <c r="K32" s="7">
        <v>3</v>
      </c>
      <c r="M32" t="s">
        <v>1047</v>
      </c>
      <c r="N32">
        <v>3</v>
      </c>
    </row>
    <row r="33" spans="2:14" ht="15.75" x14ac:dyDescent="0.25">
      <c r="B33" s="7"/>
      <c r="C33" s="7"/>
      <c r="D33" s="7"/>
      <c r="E33" s="2"/>
      <c r="M33" t="s">
        <v>1048</v>
      </c>
      <c r="N33">
        <v>3</v>
      </c>
    </row>
    <row r="34" spans="2:14" ht="15.75" x14ac:dyDescent="0.25">
      <c r="B34" s="7"/>
      <c r="C34" s="7"/>
      <c r="D34" s="7"/>
      <c r="E34" s="2"/>
      <c r="J34" s="67" t="s">
        <v>0</v>
      </c>
      <c r="K34" s="67" t="s">
        <v>632</v>
      </c>
      <c r="M34" t="s">
        <v>1049</v>
      </c>
      <c r="N34">
        <v>3</v>
      </c>
    </row>
    <row r="35" spans="2:14" ht="15.75" x14ac:dyDescent="0.25">
      <c r="B35" s="7"/>
      <c r="C35" s="7"/>
      <c r="D35" s="7"/>
      <c r="E35" s="2"/>
      <c r="J35" s="68">
        <v>1</v>
      </c>
      <c r="K35" s="68">
        <v>2</v>
      </c>
      <c r="M35" t="s">
        <v>1050</v>
      </c>
      <c r="N35">
        <v>3</v>
      </c>
    </row>
    <row r="36" spans="2:14" ht="15.75" x14ac:dyDescent="0.25">
      <c r="B36" s="7"/>
      <c r="C36" s="7"/>
      <c r="D36" s="7"/>
      <c r="E36" s="2"/>
      <c r="J36" s="68">
        <v>2</v>
      </c>
      <c r="K36" s="68">
        <v>4</v>
      </c>
      <c r="M36" t="s">
        <v>1051</v>
      </c>
      <c r="N36">
        <v>3</v>
      </c>
    </row>
    <row r="37" spans="2:14" ht="15.75" x14ac:dyDescent="0.25">
      <c r="B37" s="7"/>
      <c r="C37" s="7"/>
      <c r="D37" s="7"/>
      <c r="E37" s="2"/>
      <c r="J37" s="68">
        <v>3</v>
      </c>
      <c r="K37" s="68">
        <v>6</v>
      </c>
      <c r="M37" t="s">
        <v>1052</v>
      </c>
      <c r="N37">
        <v>3</v>
      </c>
    </row>
    <row r="38" spans="2:14" ht="15.75" x14ac:dyDescent="0.25">
      <c r="D38" s="7"/>
      <c r="E38" s="2"/>
    </row>
    <row r="39" spans="2:14" ht="15.75" x14ac:dyDescent="0.25">
      <c r="D39" s="7"/>
      <c r="E39" s="2"/>
    </row>
    <row r="40" spans="2:14" ht="15.75" x14ac:dyDescent="0.25">
      <c r="D40" s="7"/>
      <c r="E40" s="2"/>
    </row>
    <row r="41" spans="2:14" ht="15.75" x14ac:dyDescent="0.25">
      <c r="D41" s="7"/>
      <c r="E41" s="2"/>
    </row>
    <row r="42" spans="2:14" ht="15.75" x14ac:dyDescent="0.25">
      <c r="D42" s="7"/>
      <c r="E42" s="2"/>
    </row>
    <row r="43" spans="2:14" ht="15.75" x14ac:dyDescent="0.25">
      <c r="D43" s="7"/>
      <c r="E43" s="2"/>
    </row>
    <row r="44" spans="2:14" ht="15.75" x14ac:dyDescent="0.25">
      <c r="D44" s="7"/>
      <c r="E44" s="2"/>
    </row>
    <row r="45" spans="2:14" ht="15.75" x14ac:dyDescent="0.25">
      <c r="D45" s="7"/>
      <c r="E45" s="2"/>
    </row>
    <row r="46" spans="2:14" ht="15.75" x14ac:dyDescent="0.25">
      <c r="D46" s="7"/>
      <c r="E46" s="2"/>
    </row>
    <row r="47" spans="2:14" ht="15.75" x14ac:dyDescent="0.25">
      <c r="D47" s="7"/>
      <c r="E47" s="2"/>
    </row>
    <row r="48" spans="2:14" ht="15.75" x14ac:dyDescent="0.25">
      <c r="D48" s="7"/>
      <c r="E48" s="2"/>
    </row>
    <row r="49" spans="4:5" ht="15.75" x14ac:dyDescent="0.25">
      <c r="D49" s="7"/>
      <c r="E49" s="2"/>
    </row>
    <row r="50" spans="4:5" ht="15.75" x14ac:dyDescent="0.25">
      <c r="D50" s="7"/>
      <c r="E50" s="2"/>
    </row>
    <row r="51" spans="4:5" ht="15.75" x14ac:dyDescent="0.25">
      <c r="D51" s="7"/>
      <c r="E51" s="2"/>
    </row>
    <row r="52" spans="4:5" ht="15.75" x14ac:dyDescent="0.25">
      <c r="D52" s="7"/>
      <c r="E52" s="2"/>
    </row>
    <row r="53" spans="4:5" ht="15.75" x14ac:dyDescent="0.25">
      <c r="D53" s="7"/>
      <c r="E53" s="2"/>
    </row>
    <row r="54" spans="4:5" ht="15.75" x14ac:dyDescent="0.25">
      <c r="D54" s="7"/>
      <c r="E54" s="2"/>
    </row>
    <row r="55" spans="4:5" ht="15.75" x14ac:dyDescent="0.25">
      <c r="D55" s="7"/>
      <c r="E55" s="2"/>
    </row>
    <row r="56" spans="4:5" ht="15.75" x14ac:dyDescent="0.25">
      <c r="D56" s="7"/>
      <c r="E56" s="2"/>
    </row>
    <row r="57" spans="4:5" ht="15.75" x14ac:dyDescent="0.25">
      <c r="D57" s="7"/>
      <c r="E57" s="2"/>
    </row>
    <row r="58" spans="4:5" ht="15.75" x14ac:dyDescent="0.25">
      <c r="D58" s="7"/>
      <c r="E58" s="2"/>
    </row>
  </sheetData>
  <sheetProtection algorithmName="SHA-512" hashValue="QxYhP6T+2AcDcy44Uy7v0ED52lpMf6Px6E8PxwXznDh17Uo54BL6aAmIBRcL/DRS/nUPWWcwaUmcerTJPe9Pcg==" saltValue="q2zJcyAOk8sKaSSWTXeMHA=="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G324"/>
  <sheetViews>
    <sheetView zoomScale="70" zoomScaleNormal="70" workbookViewId="0">
      <selection activeCell="AG1" sqref="AG1:AG1048576"/>
    </sheetView>
  </sheetViews>
  <sheetFormatPr defaultRowHeight="15" x14ac:dyDescent="0.25"/>
  <cols>
    <col min="29" max="29" width="46.28515625" bestFit="1" customWidth="1"/>
    <col min="31" max="31" width="50.28515625" bestFit="1" customWidth="1"/>
    <col min="33" max="33" width="28.28515625" bestFit="1" customWidth="1"/>
  </cols>
  <sheetData>
    <row r="1" spans="1:33" ht="15.75" x14ac:dyDescent="0.25">
      <c r="A1" s="10" t="s">
        <v>317</v>
      </c>
      <c r="B1" s="10" t="s">
        <v>318</v>
      </c>
      <c r="D1" s="10" t="s">
        <v>333</v>
      </c>
      <c r="E1" s="28" t="s">
        <v>356</v>
      </c>
      <c r="F1" s="28" t="s">
        <v>357</v>
      </c>
      <c r="G1" s="28" t="s">
        <v>358</v>
      </c>
      <c r="H1" s="28" t="s">
        <v>359</v>
      </c>
      <c r="I1" s="28" t="s">
        <v>360</v>
      </c>
      <c r="J1" s="10" t="s">
        <v>1210</v>
      </c>
      <c r="K1" s="28" t="s">
        <v>356</v>
      </c>
      <c r="L1" s="28" t="s">
        <v>357</v>
      </c>
      <c r="M1" s="28" t="s">
        <v>358</v>
      </c>
      <c r="N1" s="28" t="s">
        <v>359</v>
      </c>
      <c r="O1" s="28" t="s">
        <v>360</v>
      </c>
      <c r="P1" s="10" t="s">
        <v>776</v>
      </c>
      <c r="Q1" s="10"/>
      <c r="R1" s="10" t="s">
        <v>377</v>
      </c>
      <c r="S1" s="2" t="s">
        <v>802</v>
      </c>
      <c r="T1" s="2" t="s">
        <v>803</v>
      </c>
      <c r="U1" s="2" t="s">
        <v>804</v>
      </c>
      <c r="V1" s="2" t="s">
        <v>808</v>
      </c>
      <c r="W1" s="2" t="s">
        <v>807</v>
      </c>
      <c r="X1" s="2" t="s">
        <v>806</v>
      </c>
      <c r="Y1" s="2" t="s">
        <v>805</v>
      </c>
      <c r="Z1" s="2" t="s">
        <v>843</v>
      </c>
      <c r="AA1" s="2" t="s">
        <v>844</v>
      </c>
      <c r="AB1" s="10" t="s">
        <v>809</v>
      </c>
      <c r="AC1" s="10" t="s">
        <v>49</v>
      </c>
      <c r="AD1" s="10"/>
      <c r="AE1" s="10" t="s">
        <v>241</v>
      </c>
      <c r="AG1" s="10" t="s">
        <v>319</v>
      </c>
    </row>
    <row r="2" spans="1:33" ht="47.25" x14ac:dyDescent="0.25">
      <c r="A2" t="str">
        <f>Character_Builder!G14</f>
        <v>Right Hand:</v>
      </c>
      <c r="B2">
        <f>Character_Builder!H14</f>
        <v>0</v>
      </c>
      <c r="E2" s="12" t="str">
        <f>IF($B2=0,"",IF(IFERROR(FIND("Metal",$B2,1),0)&gt;0,Enhancements!$G$2,IF(IFERROR(FIND("Wood",$B2,1),0)&gt;0,Enhancements!$G$7,IF(IFERROR(FIND("Leather",$B2,1),0)&gt;0,Enhancements!$G$15,IF(IFERROR(FIND("Cloth",$B2,1),0)&gt;0,Enhancements!$G$24,"")))))</f>
        <v/>
      </c>
      <c r="F2" s="12" t="str">
        <f>IF($B2=0,"",IF(IFERROR(FIND("Metal",$B2,1),0)&gt;0,Enhancements!$G$3,IF(IFERROR(FIND("Wood",$B2,1),0)&gt;0,Enhancements!$G$8,IF(IFERROR(FIND("Leather",$B2,1),0)&gt;0,Enhancements!$G$16,IF(IFERROR(FIND("Cloth",$B2,1),0)&gt;0,Enhancements!$G$25,"")))))</f>
        <v/>
      </c>
      <c r="G2" s="12" t="str">
        <f>IF($B2=0,"",IF(IFERROR(FIND("Metal",$B2,1),0)&gt;0,Enhancements!$G$2,IF(IFERROR(FIND("Wood",$B2,1),0)&gt;0,Enhancements!$G$7,IF(IFERROR(FIND("Leather",$B2,1),0)&gt;0,Enhancements!$G$15,IF(IFERROR(FIND("Cloth",$B2,1),0)&gt;0,Enhancements!$G$24,"")))))</f>
        <v/>
      </c>
      <c r="H2" s="12" t="str">
        <f>IF($B2=0,"",IF(IFERROR(FIND("Metal",$B2,1),0)&gt;0,Enhancements!$G$2,IF(IFERROR(FIND("Wood",$B2,1),0)&gt;0,Enhancements!$G$7,IF(IFERROR(FIND("Leather",$B2,1),0)&gt;0,Enhancements!$G$15,IF(IFERROR(FIND("Cloth",$B2,1),0)&gt;0,Enhancements!$G$24,"")))))</f>
        <v/>
      </c>
      <c r="I2" s="12" t="str">
        <f>IF($B2=0,"",IF(IFERROR(FIND("Metal",$B2,1),0)&gt;0,Enhancements!$G$2,IF(IFERROR(FIND("Wood",$B2,1),0)&gt;0,Enhancements!$G$7,IF(IFERROR(FIND("Leather",$B2,1),0)&gt;0,Enhancements!$G$15,IF(IFERROR(FIND("Cloth",$B2,1),0)&gt;0,Enhancements!$G$24,"")))))</f>
        <v/>
      </c>
      <c r="K2" s="12" t="str">
        <f>IF(IFERROR(FIND("Metal+Wood",$B2,1),0)&gt;0,Enhancements!$G$7,"")</f>
        <v/>
      </c>
      <c r="L2" s="12" t="str">
        <f>IF(IFERROR(FIND("Metal+Wood",$B2,1),0)&gt;0,Enhancements!$G$8,"")</f>
        <v/>
      </c>
      <c r="M2" s="12" t="str">
        <f>IF(IFERROR(FIND("Metal+Wood",$B2,1),0)&gt;0,Enhancements!$G$9,"")</f>
        <v/>
      </c>
      <c r="N2" s="12" t="str">
        <f>IF(IFERROR(FIND("Metal+Wood",$B2,1),0)&gt;0,Enhancements!$G$10,"")</f>
        <v/>
      </c>
      <c r="O2" s="12"/>
      <c r="Q2" s="71" t="s">
        <v>723</v>
      </c>
      <c r="R2" s="5"/>
      <c r="S2" s="80" t="s">
        <v>723</v>
      </c>
      <c r="T2" s="5" t="s">
        <v>723</v>
      </c>
      <c r="U2" s="5" t="s">
        <v>723</v>
      </c>
      <c r="V2" s="5" t="s">
        <v>724</v>
      </c>
      <c r="W2" s="5" t="s">
        <v>732</v>
      </c>
      <c r="X2" s="80" t="s">
        <v>724</v>
      </c>
      <c r="Y2" s="5" t="s">
        <v>723</v>
      </c>
      <c r="Z2" s="5">
        <f>Cost_Compute!D98</f>
        <v>0</v>
      </c>
      <c r="AA2" s="5" t="str">
        <f>IFERROR(HLOOKUP($Z2,Magic_Lores!$A$1:$ES$3,MATCH(Magic_Lores!$A$3,Magic_Lores!$A$1:$A$3,0),FALSE),"")</f>
        <v/>
      </c>
      <c r="AB2" s="2"/>
      <c r="AC2" s="46" t="s">
        <v>41</v>
      </c>
      <c r="AD2" s="73">
        <v>1</v>
      </c>
      <c r="AE2" s="43" t="s">
        <v>745</v>
      </c>
      <c r="AG2" s="70" t="s">
        <v>93</v>
      </c>
    </row>
    <row r="3" spans="1:33" ht="31.5" x14ac:dyDescent="0.25">
      <c r="A3" t="str">
        <f>Character_Builder!G15</f>
        <v>Left Hand:</v>
      </c>
      <c r="B3">
        <f>Character_Builder!H15</f>
        <v>0</v>
      </c>
      <c r="E3" s="12" t="str">
        <f>IF($B3=0,"",IF(IFERROR(FIND("Metal",$B3,1),0)&gt;0,Enhancements!$G$2,IF(IFERROR(FIND("Rope",$B3,1),0)&gt;0,Enhancements!#REF!,IF(IFERROR(FIND("Dispel",$B3,1),0)&gt;0,Enhancements!#REF!,IF(IFERROR(FIND("Prophesy",$B3,1),0)&gt;0,Enhancements!#REF!,IF(IFERROR(FIND("Blessings",$B3,1),0)&gt;0,Enhancements!#REF!,IF(IFERROR(FIND("Wards",$B3,1),0)&gt;0,Enhancements!#REF!,IF(IFERROR(FIND("Wood",$B3,1),0)&gt;0,Enhancements!$G$7,IF(IFERROR(FIND("Leather",$B3,1),0)&gt;0,Enhancements!$G$15,IF(IFERROR(FIND("Bone",$B3,1),0)&gt;0,Enhancements!#REF!,IF(IFERROR(FIND("Cloth",$B3,1),0)&gt;0,Enhancements!$G$24,"")))))))))))</f>
        <v/>
      </c>
      <c r="F3" s="12" t="str">
        <f>IF($B3=0,"",IF(IFERROR(FIND("Metal",$B3,1),0)&gt;0,Enhancements!$G$3,IF(IFERROR(FIND("Rope",$B3,1),0)&gt;0,Enhancements!#REF!,IF(IFERROR(FIND("Dispel",$B3,1),0)&gt;0,Enhancements!#REF!,IF(IFERROR(FIND("Prophesy",$B3,1),0)&gt;0,Enhancements!#REF!,IF(IFERROR(FIND("Blessings",$B3,1),0)&gt;0,Enhancements!#REF!,IF(IFERROR(FIND("Wards",$B3,1),0)&gt;0,Enhancements!#REF!,IF(IFERROR(FIND("Wood",$B3,1),0)&gt;0,Enhancements!$G$8,IF(IFERROR(FIND("Leather",$B3,1),0)&gt;0,Enhancements!$G$16,IF(IFERROR(FIND("Bone",$B3,1),0)&gt;0,Enhancements!#REF!,IF(IFERROR(FIND("Cloth",$B3,1),0)&gt;0,Enhancements!$G$25,"")))))))))))</f>
        <v/>
      </c>
      <c r="G3" s="12" t="str">
        <f>IF($B3=0,"",IF(IFERROR(FIND("Metal",$B3,1),0)&gt;0,Enhancements!$G$4,IF(IFERROR(FIND("Rope",$B3,1),0)&gt;0,Enhancements!#REF!,IF(IFERROR(FIND("Dispel",$B3,1),0)&gt;0,Enhancements!#REF!,IF(IFERROR(FIND("Prophesy",$B3,1),0)&gt;0,Enhancements!#REF!,IF(IFERROR(FIND("Blessings",$B3,1),0)&gt;0,Enhancements!#REF!,IF(IFERROR(FIND("Wards",$B3,1),0)&gt;0,Enhancements!#REF!,IF(IFERROR(FIND("Wood",$B3,1),0)&gt;0,Enhancements!$G$9,IF(IFERROR(FIND("Leather",$B3,1),0)&gt;0,Enhancements!$G$17,IF(IFERROR(FIND("Bone",$B3,1),0)&gt;0,Enhancements!#REF!,IF(IFERROR(FIND("Cloth",$B3,1),0)&gt;0,Enhancements!$G$26,"")))))))))))</f>
        <v/>
      </c>
      <c r="H3" s="12" t="str">
        <f>IF($B3=0,"",IF(IFERROR(FIND("Metal",$B3,1),0)&gt;0,Enhancements!$G$5,IF(IFERROR(FIND("Dispel",$B3,1),0)&gt;0,Enhancements!#REF!,IF(IFERROR(FIND("Prophesy",$B3,1),0)&gt;0,Enhancements!#REF!,IF(IFERROR(FIND("Blessings",$B3,1),0)&gt;0,Enhancements!#REF!,IF(IFERROR(FIND("Wards",$B3,1),0)&gt;0,Enhancements!#REF!,IF(IFERROR(FIND("Wood",$B3,1),0)&gt;0,Enhancements!$G$10,IF(IFERROR(FIND("Leather",$B3,1),0)&gt;0,Enhancements!$G$18,IF(IFERROR(FIND("Bone",$B3,1),0)&gt;0,Enhancements!#REF!,IF(IFERROR(FIND("Cloth",$B3,1),0)&gt;0,Enhancements!$G$27,""))))))))))</f>
        <v/>
      </c>
      <c r="I3" s="12" t="str">
        <f>IF($B3=0,"",IF(IFERROR(FIND("Metal",$B3,1),0)&gt;0,Enhancements!$G$6,""))</f>
        <v/>
      </c>
      <c r="K3" s="12" t="str">
        <f>IF(IFERROR(FIND("Metal+Wood",$B3,1),0)&gt;0,Enhancements!$G$7,"")</f>
        <v/>
      </c>
      <c r="L3" s="12" t="str">
        <f>IF(IFERROR(FIND("Metal+Wood",$B3,1),0)&gt;0,Enhancements!$G$8,"")</f>
        <v/>
      </c>
      <c r="M3" s="12" t="str">
        <f>IF(IFERROR(FIND("Metal+Wood",$B3,1),0)&gt;0,Enhancements!$G$9,"")</f>
        <v/>
      </c>
      <c r="N3" s="12" t="str">
        <f>IF(IFERROR(FIND("Metal+Wood",$B3,1),0)&gt;0,Enhancements!$G$10,"")</f>
        <v/>
      </c>
      <c r="O3" s="12"/>
      <c r="Q3" s="2" t="s">
        <v>155</v>
      </c>
      <c r="R3" s="5"/>
      <c r="S3" s="2" t="s">
        <v>148</v>
      </c>
      <c r="T3" s="5" t="s">
        <v>148</v>
      </c>
      <c r="U3" s="5" t="s">
        <v>148</v>
      </c>
      <c r="V3" s="5" t="s">
        <v>166</v>
      </c>
      <c r="W3" s="5" t="s">
        <v>455</v>
      </c>
      <c r="X3" s="2" t="s">
        <v>166</v>
      </c>
      <c r="Y3" s="5" t="s">
        <v>154</v>
      </c>
      <c r="Z3" s="5">
        <f>Cost_Compute!D99</f>
        <v>0</v>
      </c>
      <c r="AA3" s="5" t="str">
        <f>IFERROR(HLOOKUP($Z3,Magic_Lores!$A$1:$ES$3,MATCH(Magic_Lores!$A$3,Magic_Lores!$A$1:$A$3,0),FALSE),"")</f>
        <v/>
      </c>
      <c r="AB3" s="2"/>
      <c r="AC3" t="s">
        <v>985</v>
      </c>
      <c r="AD3" s="73">
        <v>2</v>
      </c>
      <c r="AE3" s="46" t="s">
        <v>700</v>
      </c>
      <c r="AG3" s="70" t="s">
        <v>84</v>
      </c>
    </row>
    <row r="4" spans="1:33" ht="47.25" x14ac:dyDescent="0.25">
      <c r="A4" t="str">
        <f>Character_Builder!G16</f>
        <v>Shield:</v>
      </c>
      <c r="B4">
        <f>Character_Builder!H16</f>
        <v>0</v>
      </c>
      <c r="E4" s="12" t="str">
        <f>IF($B4=0,"",IF(IFERROR(FIND("Metal",$B4,1),0)&gt;0,Enhancements!$G$19,IF(IFERROR(FIND("Rope",$B4,1),0)&gt;0,Enhancements!#REF!,IF(IFERROR(FIND("Blessings",$B4,1),0)&gt;0,Enhancements!#REF!,IF(IFERROR(FIND("Wood",$B4,1),0)&gt;0,Enhancements!$G$11,IF(IFERROR(FIND("Leather",$B4,1),0)&gt;0,Enhancements!$G$15,IF(IFERROR(FIND("Bone",$B4,1),0)&gt;0,Enhancements!#REF!,IF(IFERROR(FIND("Cloth",$B4,1),0)&gt;0,Enhancements!$G$24,""))))))))</f>
        <v/>
      </c>
      <c r="F4" s="12" t="str">
        <f>IF($B4=0,"",IF(IFERROR(FIND("Metal",$B4,1),0)&gt;0,Enhancements!$G$20,IF(IFERROR(FIND("Rope",$B4,1),0)&gt;0,Enhancements!#REF!,IF(IFERROR(FIND("Blessings",$B4,1),0)&gt;0,Enhancements!#REF!,IF(IFERROR(FIND("Wood",$B4,1),0)&gt;0,Enhancements!$G$12,IF(IFERROR(FIND("Leather",$B4,1),0)&gt;0,Enhancements!$G$16,IF(IFERROR(FIND("Bone",$B4,1),0)&gt;0,Enhancements!#REF!,IF(IFERROR(FIND("Cloth",$B4,1),0)&gt;0,Enhancements!$G$25,""))))))))</f>
        <v/>
      </c>
      <c r="G4" s="12" t="str">
        <f>IF($B4=0,"",IF(IFERROR(FIND("Metal",$B4,1),0)&gt;0,Enhancements!$G$21,IF(IFERROR(FIND("Rope",$B4,1),0)&gt;0,Enhancements!#REF!,IF(IFERROR(FIND("Blessings",$B4,1),0)&gt;0,Enhancements!#REF!,IF(IFERROR(FIND("Wood",$B4,1),0)&gt;0,Enhancements!$G$13,IF(IFERROR(FIND("Leather",$B4,1),0)&gt;0,Enhancements!$G$17,IF(IFERROR(FIND("Bone",$B4,1),0)&gt;0,Enhancements!#REF!,IF(IFERROR(FIND("Cloth",$B4,1),0)&gt;0,Enhancements!$G$26,""))))))))</f>
        <v/>
      </c>
      <c r="H4" s="12" t="str">
        <f>IF($B4=0,"",IF(IFERROR(FIND("Metal",$B4,1),0)&gt;0,Enhancements!$G$22,IF(IFERROR(FIND("Blessings",$B4,1),0)&gt;0,Enhancements!#REF!,IF(IFERROR(FIND("Wood",$B4,1),0)&gt;0,Enhancements!$G$14,IF(IFERROR(FIND("Leather",$B4,1),0)&gt;0,Enhancements!$G$18,IF(IFERROR(FIND("Bone",$B4,1),0)&gt;0,Enhancements!#REF!,IF(IFERROR(FIND("Cloth",$B4,1),0)&gt;0,Enhancements!$G$27,"")))))))</f>
        <v/>
      </c>
      <c r="I4" s="12" t="str">
        <f>IF($B4=0,"",IF(IFERROR(FIND("Metal",$B4,1),0)&gt;0,Enhancements!$G$23,""))</f>
        <v/>
      </c>
      <c r="K4" s="12" t="str">
        <f>IF(IFERROR(FIND("Metal+Wood",$B4,1),0)&gt;0,Enhancements!$G$7,"")</f>
        <v/>
      </c>
      <c r="L4" s="12" t="str">
        <f>IF(IFERROR(FIND("Metal+Wood",$B4,1),0)&gt;0,Enhancements!$G$8,"")</f>
        <v/>
      </c>
      <c r="M4" s="12" t="str">
        <f>IF(IFERROR(FIND("Metal+Wood",$B4,1),0)&gt;0,Enhancements!$G$9,"")</f>
        <v/>
      </c>
      <c r="N4" s="12" t="str">
        <f>IF(IFERROR(FIND("Metal+Wood",$B4,1),0)&gt;0,Enhancements!$G$10,"")</f>
        <v/>
      </c>
      <c r="O4" s="12"/>
      <c r="Q4" s="2" t="s">
        <v>148</v>
      </c>
      <c r="R4" s="5"/>
      <c r="S4" s="2" t="s">
        <v>152</v>
      </c>
      <c r="T4" s="5" t="s">
        <v>147</v>
      </c>
      <c r="U4" s="5" t="s">
        <v>147</v>
      </c>
      <c r="V4" s="5" t="s">
        <v>164</v>
      </c>
      <c r="W4" s="5" t="s">
        <v>457</v>
      </c>
      <c r="X4" s="2" t="s">
        <v>164</v>
      </c>
      <c r="Y4" s="5" t="s">
        <v>152</v>
      </c>
      <c r="Z4" s="5">
        <f>Cost_Compute!D100</f>
        <v>0</v>
      </c>
      <c r="AA4" s="5" t="str">
        <f>IFERROR(HLOOKUP($Z4,Magic_Lores!$A$1:$ES$3,MATCH(Magic_Lores!$A$3,Magic_Lores!$A$1:$A$3,0),FALSE),"")</f>
        <v/>
      </c>
      <c r="AB4" s="2"/>
      <c r="AC4" t="s">
        <v>986</v>
      </c>
      <c r="AD4" s="73">
        <v>3</v>
      </c>
      <c r="AE4" s="46" t="s">
        <v>701</v>
      </c>
      <c r="AG4" s="70" t="s">
        <v>99</v>
      </c>
    </row>
    <row r="5" spans="1:33" ht="31.5" x14ac:dyDescent="0.25">
      <c r="A5" t="str">
        <f>Character_Builder!G17</f>
        <v>Ranged Weapon:</v>
      </c>
      <c r="B5">
        <f>Character_Builder!H17</f>
        <v>0</v>
      </c>
      <c r="E5" s="12" t="str">
        <f>IF($B5=0,"",IF(IFERROR(FIND("Metal",$B5,1),0)&gt;0,Enhancements!$G$2,IF(IFERROR(FIND("Rope",$B5,1),0)&gt;0,Enhancements!#REF!,IF(IFERROR(FIND("Dispel",$B5,1),0)&gt;0,Enhancements!#REF!,IF(IFERROR(FIND("Prophesy",$B5,1),0)&gt;0,Enhancements!#REF!,IF(IFERROR(FIND("Blessings",$B5,1),0)&gt;0,Enhancements!#REF!,IF(IFERROR(FIND("Wards",$B5,1),0)&gt;0,Enhancements!#REF!,IF(IFERROR(FIND("Wood",$B5,1),0)&gt;0,Enhancements!$G$7,IF(IFERROR(FIND("Leather",$B5,1),0)&gt;0,Enhancements!$G$15,IF(IFERROR(FIND("Bone",$B5,1),0)&gt;0,Enhancements!#REF!,IF(IFERROR(FIND("Cloth",$B5,1),0)&gt;0,Enhancements!$G$24,"")))))))))))</f>
        <v/>
      </c>
      <c r="F5" s="12" t="str">
        <f>IF($B5=0,"",IF(IFERROR(FIND("Metal",$B5,1),0)&gt;0,Enhancements!$G$3,IF(IFERROR(FIND("Rope",$B5,1),0)&gt;0,Enhancements!#REF!,IF(IFERROR(FIND("Dispel",$B5,1),0)&gt;0,Enhancements!#REF!,IF(IFERROR(FIND("Prophesy",$B5,1),0)&gt;0,Enhancements!#REF!,IF(IFERROR(FIND("Blessings",$B5,1),0)&gt;0,Enhancements!#REF!,IF(IFERROR(FIND("Wards",$B5,1),0)&gt;0,Enhancements!#REF!,IF(IFERROR(FIND("Wood",$B5,1),0)&gt;0,Enhancements!$G$8,IF(IFERROR(FIND("Leather",$B5,1),0)&gt;0,Enhancements!$G$16,IF(IFERROR(FIND("Bone",$B5,1),0)&gt;0,Enhancements!#REF!,IF(IFERROR(FIND("Cloth",$B5,1),0)&gt;0,Enhancements!$G$25,"")))))))))))</f>
        <v/>
      </c>
      <c r="G5" s="12" t="str">
        <f>IF($B5=0,"",IF(IFERROR(FIND("Metal",$B5,1),0)&gt;0,Enhancements!$G$4,IF(IFERROR(FIND("Rope",$B5,1),0)&gt;0,Enhancements!#REF!,IF(IFERROR(FIND("Dispel",$B5,1),0)&gt;0,Enhancements!#REF!,IF(IFERROR(FIND("Prophesy",$B5,1),0)&gt;0,Enhancements!#REF!,IF(IFERROR(FIND("Blessings",$B5,1),0)&gt;0,Enhancements!#REF!,IF(IFERROR(FIND("Wards",$B5,1),0)&gt;0,Enhancements!#REF!,IF(IFERROR(FIND("Wood",$B5,1),0)&gt;0,Enhancements!$G$9,IF(IFERROR(FIND("Leather",$B5,1),0)&gt;0,Enhancements!$G$17,IF(IFERROR(FIND("Bone",$B5,1),0)&gt;0,Enhancements!#REF!,IF(IFERROR(FIND("Cloth",$B5,1),0)&gt;0,Enhancements!$G$26,"")))))))))))</f>
        <v/>
      </c>
      <c r="H5" s="12" t="str">
        <f>IF($B5=0,"",IF(IFERROR(FIND("Metal",$B5,1),0)&gt;0,Enhancements!$G$5,IF(IFERROR(FIND("Dispel",$B5,1),0)&gt;0,Enhancements!#REF!,IF(IFERROR(FIND("Prophesy",$B5,1),0)&gt;0,Enhancements!#REF!,IF(IFERROR(FIND("Blessings",$B5,1),0)&gt;0,Enhancements!#REF!,IF(IFERROR(FIND("Wards",$B5,1),0)&gt;0,Enhancements!#REF!,IF(IFERROR(FIND("Wood",$B5,1),0)&gt;0,Enhancements!$G$10,IF(IFERROR(FIND("Leather",$B5,1),0)&gt;0,Enhancements!$G$18,IF(IFERROR(FIND("Bone",$B5,1),0)&gt;0,Enhancements!#REF!,IF(IFERROR(FIND("Cloth",$B5,1),0)&gt;0,Enhancements!$G$27,""))))))))))</f>
        <v/>
      </c>
      <c r="I5" s="12"/>
      <c r="K5" s="12" t="str">
        <f>IF(IFERROR(FIND("Metal+Wood",$B5,1),0)&gt;0,Enhancements!$G$7,"")</f>
        <v/>
      </c>
      <c r="L5" s="12" t="str">
        <f>IF(IFERROR(FIND("Metal+Wood",$B5,1),0)&gt;0,Enhancements!$G$8,"")</f>
        <v/>
      </c>
      <c r="M5" s="12" t="str">
        <f>IF(IFERROR(FIND("Metal+Wood",$B5,1),0)&gt;0,Enhancements!$G$9,"")</f>
        <v/>
      </c>
      <c r="N5" s="12" t="str">
        <f>IF(IFERROR(FIND("Metal+Wood",$B5,1),0)&gt;0,Enhancements!$G$10,"")</f>
        <v/>
      </c>
      <c r="O5" s="12"/>
      <c r="Q5" s="2" t="s">
        <v>154</v>
      </c>
      <c r="R5" s="5"/>
      <c r="S5" s="2" t="s">
        <v>151</v>
      </c>
      <c r="T5" s="5" t="s">
        <v>683</v>
      </c>
      <c r="U5" s="5" t="s">
        <v>683</v>
      </c>
      <c r="V5" s="5" t="s">
        <v>165</v>
      </c>
      <c r="W5" s="5" t="s">
        <v>458</v>
      </c>
      <c r="X5" s="2" t="s">
        <v>168</v>
      </c>
      <c r="Y5" s="5" t="s">
        <v>151</v>
      </c>
      <c r="Z5" s="5">
        <f>Cost_Compute!D101</f>
        <v>0</v>
      </c>
      <c r="AA5" s="5" t="str">
        <f>IFERROR(HLOOKUP($Z5,Magic_Lores!$A$1:$ES$3,MATCH(Magic_Lores!$A$3,Magic_Lores!$A$1:$A$3,0),FALSE),"")</f>
        <v/>
      </c>
      <c r="AB5" s="2"/>
      <c r="AC5" t="s">
        <v>987</v>
      </c>
      <c r="AD5" s="73">
        <v>4</v>
      </c>
      <c r="AE5" s="46" t="s">
        <v>435</v>
      </c>
      <c r="AG5" s="70" t="s">
        <v>897</v>
      </c>
    </row>
    <row r="6" spans="1:33" ht="47.25" x14ac:dyDescent="0.25">
      <c r="A6" t="str">
        <f>Character_Builder!G18</f>
        <v>Alternate #1:</v>
      </c>
      <c r="B6">
        <f>Character_Builder!H18</f>
        <v>0</v>
      </c>
      <c r="E6" s="12" t="str">
        <f>IF($B6=0,"",IF(IFERROR(FIND("Metal",$B6,1),0)&gt;0,IF(SUM(IFERROR(FIND("Buckler",$B6,1),0),IFERROR(FIND("Shield",$B6,1),0),IFERROR(FIND("Aiglos",$B6,1),0))&gt;0,Enhancements!$G$11,Enhancements!$G$2),IF(IFERROR(FIND("Wood",$B6,1),0)&gt;0,Enhancements!$G$7,IF(IFERROR(FIND("Leather",$B6,1),0)&gt;0,Enhancements!$G$15,IF(IFERROR(FIND("Cloth",$B6,1),0)&gt;0,Enhancements!$G$24,"")))))</f>
        <v/>
      </c>
      <c r="F6" s="12" t="str">
        <f>IF($B6=0,"",IF(IFERROR(FIND("Metal",$B6,1),0)&gt;0,IF(SUM(IFERROR(FIND("Buckler",$B6,1),0),IFERROR(FIND("Shield",$B6,1),0),IFERROR(FIND("Aiglos",$B6,1),0))&gt;0,Enhancements!$G$12,Enhancements!$G$3),IF(IFERROR(FIND("Wood",$B6,1),0)&gt;0,Enhancements!$G$8,IF(IFERROR(FIND("Leather",$B6,1),0)&gt;0,Enhancements!$G$16,IF(IFERROR(FIND("Cloth",$B6,1),0)&gt;0,Enhancements!$G$25,"")))))</f>
        <v/>
      </c>
      <c r="G6" s="12" t="str">
        <f>IF($B6=0,"",IF(IFERROR(FIND("Metal",$B6,1),0)&gt;0,IF(SUM(IFERROR(FIND("Buckler",$B6,1),0),IFERROR(FIND("Shield",$B6,1),0),IFERROR(FIND("Aiglos",$B6,1),0))&gt;0,Enhancements!$G$13,Enhancements!$G$4),IF(IFERROR(FIND("Wood",$B6,1),0)&gt;0,Enhancements!$G$9,IF(IFERROR(FIND("Leather",$B6,1),0)&gt;0,Enhancements!$G$17,IF(IFERROR(FIND("Cloth",$B6,1),0)&gt;0,Enhancements!$G$26,"")))))</f>
        <v/>
      </c>
      <c r="H6" s="12" t="str">
        <f>IF($B6=0,"",IF(IFERROR(FIND("Metal",$B6,1),0)&gt;0,IF(SUM(IFERROR(FIND("Buckler",$B6,1),0),IFERROR(FIND("Shield",$B6,1),0),IFERROR(FIND("Aiglos",$B6,1),0))&gt;0,Enhancements!$G$14,Enhancements!$G$5),IF(IFERROR(FIND("Wood",$B6,1),0)&gt;0,Enhancements!$G$10,IF(IFERROR(FIND("Leather",$B6,1),0)&gt;0,Enhancements!$G$18,IF(IFERROR(FIND("Cloth",$B6,1),0)&gt;0,Enhancements!$G$27,"")))))</f>
        <v/>
      </c>
      <c r="I6" s="12" t="str">
        <f>IF($B6=0,"",IF(IFERROR(FIND("Metal",$B6,1),0)&gt;0,IF(SUM(IFERROR(FIND("Buckler",$B6,1),0),IFERROR(FIND("Shield",$B6,1),0),IFERROR(FIND("Aiglos",$B6,1),0))&gt;0,Enhancements!#REF!,Enhancements!$G$6)))</f>
        <v/>
      </c>
      <c r="K6" s="12" t="str">
        <f>IF(IFERROR(FIND("Metal+Wood",$B6,1),0)&gt;0,Enhancements!$G$7,"")</f>
        <v/>
      </c>
      <c r="L6" s="12" t="str">
        <f>IF(IFERROR(FIND("Metal+Wood",$B6,1),0)&gt;0,Enhancements!$G$8,"")</f>
        <v/>
      </c>
      <c r="M6" s="12" t="str">
        <f>IF(IFERROR(FIND("Metal+Wood",$B6,1),0)&gt;0,Enhancements!$G$9,"")</f>
        <v/>
      </c>
      <c r="N6" s="12" t="str">
        <f>IF(IFERROR(FIND("Metal+Wood",$B6,1),0)&gt;0,Enhancements!$G$10,"")</f>
        <v/>
      </c>
      <c r="O6" s="12"/>
      <c r="Q6" s="2" t="s">
        <v>152</v>
      </c>
      <c r="R6" s="5"/>
      <c r="S6" s="2" t="s">
        <v>147</v>
      </c>
      <c r="T6" s="5" t="s">
        <v>146</v>
      </c>
      <c r="U6" s="5" t="s">
        <v>146</v>
      </c>
      <c r="V6" s="5" t="s">
        <v>163</v>
      </c>
      <c r="W6" s="5" t="s">
        <v>456</v>
      </c>
      <c r="X6" s="2" t="s">
        <v>170</v>
      </c>
      <c r="Y6" s="5" t="s">
        <v>149</v>
      </c>
      <c r="Z6" s="5">
        <f>Cost_Compute!D102</f>
        <v>0</v>
      </c>
      <c r="AA6" s="5" t="str">
        <f>IFERROR(HLOOKUP($Z6,Magic_Lores!$A$1:$ES$3,MATCH(Magic_Lores!$A$3,Magic_Lores!$A$1:$A$3,0),FALSE),"")</f>
        <v/>
      </c>
      <c r="AB6" s="2"/>
      <c r="AC6" t="s">
        <v>988</v>
      </c>
      <c r="AD6" s="73">
        <v>5</v>
      </c>
      <c r="AE6" s="46" t="s">
        <v>436</v>
      </c>
      <c r="AG6" s="70" t="s">
        <v>87</v>
      </c>
    </row>
    <row r="7" spans="1:33" ht="31.5" x14ac:dyDescent="0.25">
      <c r="A7" t="str">
        <f>Character_Builder!G19</f>
        <v>Alternate #2:</v>
      </c>
      <c r="B7">
        <f>Character_Builder!H19</f>
        <v>0</v>
      </c>
      <c r="E7" s="12" t="str">
        <f>IF($B7=0,"",IF(IFERROR(FIND("Metal",$B7,1),0)&gt;0,Enhancements!$G$2,IF(IFERROR(FIND("Rope",$B7,1),0)&gt;0,Enhancements!#REF!,IF(IFERROR(FIND("Dispel",$B7,1),0)&gt;0,Enhancements!#REF!,IF(IFERROR(FIND("Prophesy",$B7,1),0)&gt;0,Enhancements!#REF!,IF(IFERROR(FIND("Blessings",$B7,1),0)&gt;0,Enhancements!#REF!,IF(IFERROR(FIND("Wards",$B7,1),0)&gt;0,Enhancements!#REF!,IF(IFERROR(FIND("Wood",$B7,1),0)&gt;0,Enhancements!$G$7,IF(IFERROR(FIND("Leather",$B7,1),0)&gt;0,Enhancements!$G$15,IF(IFERROR(FIND("Bone",$B7,1),0)&gt;0,Enhancements!#REF!,IF(IFERROR(FIND("Cloth",$B7,1),0)&gt;0,Enhancements!$G$24,"")))))))))))</f>
        <v/>
      </c>
      <c r="F7" s="12" t="str">
        <f>IF($B7=0,"",IF(IFERROR(FIND("Metal",$B7,1),0)&gt;0,Enhancements!$G$3,IF(IFERROR(FIND("Rope",$B7,1),0)&gt;0,Enhancements!#REF!,IF(IFERROR(FIND("Dispel",$B7,1),0)&gt;0,Enhancements!#REF!,IF(IFERROR(FIND("Prophesy",$B7,1),0)&gt;0,Enhancements!#REF!,IF(IFERROR(FIND("Blessings",$B7,1),0)&gt;0,Enhancements!#REF!,IF(IFERROR(FIND("Wards",$B7,1),0)&gt;0,Enhancements!#REF!,IF(IFERROR(FIND("Wood",$B7,1),0)&gt;0,Enhancements!$G$8,IF(IFERROR(FIND("Leather",$B7,1),0)&gt;0,Enhancements!$G$16,IF(IFERROR(FIND("Bone",$B7,1),0)&gt;0,Enhancements!#REF!,IF(IFERROR(FIND("Cloth",$B7,1),0)&gt;0,Enhancements!$G$25,"")))))))))))</f>
        <v/>
      </c>
      <c r="G7" s="12" t="str">
        <f>IF($B7=0,"",IF(IFERROR(FIND("Metal",$B7,1),0)&gt;0,Enhancements!$G$4,IF(IFERROR(FIND("Rope",$B7,1),0)&gt;0,Enhancements!#REF!,IF(IFERROR(FIND("Dispel",$B7,1),0)&gt;0,Enhancements!#REF!,IF(IFERROR(FIND("Prophesy",$B7,1),0)&gt;0,Enhancements!#REF!,IF(IFERROR(FIND("Blessings",$B7,1),0)&gt;0,Enhancements!#REF!,IF(IFERROR(FIND("Wards",$B7,1),0)&gt;0,Enhancements!#REF!,IF(IFERROR(FIND("Wood",$B7,1),0)&gt;0,Enhancements!$G$9,IF(IFERROR(FIND("Leather",$B7,1),0)&gt;0,Enhancements!$G$17,IF(IFERROR(FIND("Bone",$B7,1),0)&gt;0,Enhancements!#REF!,IF(IFERROR(FIND("Cloth",$B7,1),0)&gt;0,Enhancements!$G$26,"")))))))))))</f>
        <v/>
      </c>
      <c r="H7" s="12" t="str">
        <f>IF($B7=0,"",IF(IFERROR(FIND("Metal",$B7,1),0)&gt;0,Enhancements!$G$5,IF(IFERROR(FIND("Dispel",$B7,1),0)&gt;0,Enhancements!#REF!,IF(IFERROR(FIND("Prophesy",$B7,1),0)&gt;0,Enhancements!#REF!,IF(IFERROR(FIND("Blessings",$B7,1),0)&gt;0,Enhancements!#REF!,IF(IFERROR(FIND("Wards",$B7,1),0)&gt;0,Enhancements!#REF!,IF(IFERROR(FIND("Wood",$B7,1),0)&gt;0,Enhancements!$G$10,IF(IFERROR(FIND("Leather",$B7,1),0)&gt;0,Enhancements!$G$18,IF(IFERROR(FIND("Bone",$B7,1),0)&gt;0,Enhancements!#REF!,IF(IFERROR(FIND("Cloth",$B7,1),0)&gt;0,Enhancements!$G$27,""))))))))))</f>
        <v/>
      </c>
      <c r="I7" s="12"/>
      <c r="K7" s="12" t="str">
        <f>IF(IFERROR(FIND("Metal+Wood",$B7,1),0)&gt;0,Enhancements!$G$7,"")</f>
        <v/>
      </c>
      <c r="L7" s="12" t="str">
        <f>IF(IFERROR(FIND("Metal+Wood",$B7,1),0)&gt;0,Enhancements!$G$8,"")</f>
        <v/>
      </c>
      <c r="M7" s="12" t="str">
        <f>IF(IFERROR(FIND("Metal+Wood",$B7,1),0)&gt;0,Enhancements!$G$9,"")</f>
        <v/>
      </c>
      <c r="N7" s="12" t="str">
        <f>IF(IFERROR(FIND("Metal+Wood",$B7,1),0)&gt;0,Enhancements!$G$10,"")</f>
        <v/>
      </c>
      <c r="O7" s="12"/>
      <c r="Q7" s="2" t="s">
        <v>151</v>
      </c>
      <c r="R7" s="5"/>
      <c r="S7" s="2" t="s">
        <v>149</v>
      </c>
      <c r="T7" s="51"/>
      <c r="U7" s="51"/>
      <c r="V7" s="5"/>
      <c r="W7" s="5" t="s">
        <v>459</v>
      </c>
      <c r="X7" s="2" t="s">
        <v>165</v>
      </c>
      <c r="Y7" s="5" t="s">
        <v>150</v>
      </c>
      <c r="Z7" s="5">
        <f>Cost_Compute!D103</f>
        <v>0</v>
      </c>
      <c r="AA7" s="5" t="str">
        <f>IFERROR(HLOOKUP($Z7,Magic_Lores!$A$1:$ES$3,MATCH(Magic_Lores!$A$3,Magic_Lores!$A$1:$A$3,0),FALSE),"")</f>
        <v/>
      </c>
      <c r="AB7" s="2"/>
      <c r="AC7" s="46" t="s">
        <v>403</v>
      </c>
      <c r="AD7" s="73">
        <v>6</v>
      </c>
      <c r="AE7" s="46" t="s">
        <v>831</v>
      </c>
      <c r="AG7" s="70" t="s">
        <v>882</v>
      </c>
    </row>
    <row r="8" spans="1:33" ht="47.25" x14ac:dyDescent="0.25">
      <c r="A8" t="str">
        <f>Character_Builder!G20</f>
        <v>Alternate #3:</v>
      </c>
      <c r="B8">
        <f>Character_Builder!H20</f>
        <v>0</v>
      </c>
      <c r="E8" s="12" t="str">
        <f>IF($B8=0,"",IF(IFERROR(FIND("Metal",$B8,1),0)&gt;0,Enhancements!$G$2,IF(IFERROR(FIND("Rope",$B8,1),0)&gt;0,Enhancements!#REF!,IF(IFERROR(FIND("Dispel",$B8,1),0)&gt;0,Enhancements!#REF!,IF(IFERROR(FIND("Prophesy",$B8,1),0)&gt;0,Enhancements!#REF!,IF(IFERROR(FIND("Blessings",$B8,1),0)&gt;0,Enhancements!#REF!,IF(IFERROR(FIND("Wards",$B8,1),0)&gt;0,Enhancements!#REF!,IF(IFERROR(FIND("Wood",$B8,1),0)&gt;0,Enhancements!$G$7,IF(IFERROR(FIND("Leather",$B8,1),0)&gt;0,Enhancements!$G$15,IF(IFERROR(FIND("Bone",$B8,1),0)&gt;0,Enhancements!#REF!,IF(IFERROR(FIND("Cloth",$B8,1),0)&gt;0,Enhancements!$G$24,"")))))))))))</f>
        <v/>
      </c>
      <c r="F8" s="12" t="str">
        <f>IF($B8=0,"",IF(IFERROR(FIND("Metal",$B8,1),0)&gt;0,Enhancements!$G$3,IF(IFERROR(FIND("Rope",$B8,1),0)&gt;0,Enhancements!#REF!,IF(IFERROR(FIND("Dispel",$B8,1),0)&gt;0,Enhancements!#REF!,IF(IFERROR(FIND("Prophesy",$B8,1),0)&gt;0,Enhancements!#REF!,IF(IFERROR(FIND("Blessings",$B8,1),0)&gt;0,Enhancements!#REF!,IF(IFERROR(FIND("Wards",$B8,1),0)&gt;0,Enhancements!#REF!,IF(IFERROR(FIND("Wood",$B8,1),0)&gt;0,Enhancements!$G$8,IF(IFERROR(FIND("Leather",$B8,1),0)&gt;0,Enhancements!$G$16,IF(IFERROR(FIND("Bone",$B8,1),0)&gt;0,Enhancements!#REF!,IF(IFERROR(FIND("Cloth",$B8,1),0)&gt;0,Enhancements!$G$25,"")))))))))))</f>
        <v/>
      </c>
      <c r="G8" s="12" t="str">
        <f>IF($B8=0,"",IF(IFERROR(FIND("Metal",$B8,1),0)&gt;0,Enhancements!$G$4,IF(IFERROR(FIND("Rope",$B8,1),0)&gt;0,Enhancements!#REF!,IF(IFERROR(FIND("Dispel",$B8,1),0)&gt;0,Enhancements!#REF!,IF(IFERROR(FIND("Prophesy",$B8,1),0)&gt;0,Enhancements!#REF!,IF(IFERROR(FIND("Blessings",$B8,1),0)&gt;0,Enhancements!#REF!,IF(IFERROR(FIND("Wards",$B8,1),0)&gt;0,Enhancements!#REF!,IF(IFERROR(FIND("Wood",$B8,1),0)&gt;0,Enhancements!$G$9,IF(IFERROR(FIND("Leather",$B8,1),0)&gt;0,Enhancements!$G$17,IF(IFERROR(FIND("Bone",$B8,1),0)&gt;0,Enhancements!#REF!,IF(IFERROR(FIND("Cloth",$B8,1),0)&gt;0,Enhancements!$G$26,"")))))))))))</f>
        <v/>
      </c>
      <c r="H8" s="12" t="str">
        <f>IF($B8=0,"",IF(IFERROR(FIND("Metal",$B8,1),0)&gt;0,Enhancements!$G$5,IF(IFERROR(FIND("Dispel",$B8,1),0)&gt;0,Enhancements!#REF!,IF(IFERROR(FIND("Prophesy",$B8,1),0)&gt;0,Enhancements!#REF!,IF(IFERROR(FIND("Blessings",$B8,1),0)&gt;0,Enhancements!#REF!,IF(IFERROR(FIND("Wards",$B8,1),0)&gt;0,Enhancements!#REF!,IF(IFERROR(FIND("Wood",$B8,1),0)&gt;0,Enhancements!$G$10,IF(IFERROR(FIND("Leather",$B8,1),0)&gt;0,Enhancements!$G$18,IF(IFERROR(FIND("Bone",$B8,1),0)&gt;0,Enhancements!#REF!,IF(IFERROR(FIND("Cloth",$B8,1),0)&gt;0,Enhancements!$G$27,""))))))))))</f>
        <v/>
      </c>
      <c r="I8" s="12"/>
      <c r="K8" s="12" t="str">
        <f>IF(IFERROR(FIND("Metal+Wood",$B8,1),0)&gt;0,Enhancements!$G$7,"")</f>
        <v/>
      </c>
      <c r="L8" s="12" t="str">
        <f>IF(IFERROR(FIND("Metal+Wood",$B8,1),0)&gt;0,Enhancements!$G$8,"")</f>
        <v/>
      </c>
      <c r="M8" s="12" t="str">
        <f>IF(IFERROR(FIND("Metal+Wood",$B8,1),0)&gt;0,Enhancements!$G$9,"")</f>
        <v/>
      </c>
      <c r="N8" s="12" t="str">
        <f>IF(IFERROR(FIND("Metal+Wood",$B8,1),0)&gt;0,Enhancements!$G$10,"")</f>
        <v/>
      </c>
      <c r="O8" s="12"/>
      <c r="Q8" s="2" t="s">
        <v>147</v>
      </c>
      <c r="R8" s="5"/>
      <c r="S8" s="2" t="s">
        <v>683</v>
      </c>
      <c r="T8" s="5" t="s">
        <v>724</v>
      </c>
      <c r="U8" s="5" t="s">
        <v>724</v>
      </c>
      <c r="V8" s="5" t="s">
        <v>739</v>
      </c>
      <c r="W8" s="5" t="s">
        <v>796</v>
      </c>
      <c r="X8" s="2" t="s">
        <v>169</v>
      </c>
      <c r="Y8" s="51"/>
      <c r="Z8" s="5">
        <f>Cost_Compute!D104</f>
        <v>0</v>
      </c>
      <c r="AA8" s="5" t="str">
        <f>IFERROR(HLOOKUP($Z8,Magic_Lores!$A$1:$ES$3,MATCH(Magic_Lores!$A$3,Magic_Lores!$A$1:$A$3,0),FALSE),"")</f>
        <v/>
      </c>
      <c r="AB8" s="2"/>
      <c r="AC8" s="46" t="s">
        <v>44</v>
      </c>
      <c r="AD8" s="73">
        <v>7</v>
      </c>
      <c r="AE8" s="46" t="s">
        <v>832</v>
      </c>
      <c r="AG8" s="70" t="s">
        <v>566</v>
      </c>
    </row>
    <row r="9" spans="1:33" ht="47.25" x14ac:dyDescent="0.25">
      <c r="A9" t="str">
        <f>Character_Builder!G32</f>
        <v>Head A:</v>
      </c>
      <c r="B9">
        <f>Character_Builder!H32</f>
        <v>0</v>
      </c>
      <c r="E9" s="12" t="str">
        <f>IF($B9=0,"",IF(IFERROR(FIND("Metal",$B9,1),0)&gt;0,Enhancements!$G$19,IF(IFERROR(FIND("Rope",$B9,1),0)&gt;0,Enhancements!#REF!,IF(IFERROR(FIND("Blessings",$B9,1),0)&gt;0,Enhancements!#REF!,IF(IFERROR(FIND("Wood",$B9,1),0)&gt;0,Enhancements!$G$11,IF(IFERROR(FIND("Leather",$B9,1),0)&gt;0,Enhancements!$G$15,IF(IFERROR(FIND("Bone",$B9,1),0)&gt;0,Enhancements!#REF!,IF(IFERROR(FIND("Cloth",$B9,1),0)&gt;0,Enhancements!$G$24,""))))))))</f>
        <v/>
      </c>
      <c r="F9" s="12" t="str">
        <f>IF($B9=0,"",IF(IFERROR(FIND("Metal",$B9,1),0)&gt;0,Enhancements!$G$20,IF(IFERROR(FIND("Rope",$B9,1),0)&gt;0,Enhancements!#REF!,IF(IFERROR(FIND("Blessings",$B9,1),0)&gt;0,Enhancements!#REF!,IF(IFERROR(FIND("Wood",$B9,1),0)&gt;0,Enhancements!$G$12,IF(IFERROR(FIND("Leather",$B9,1),0)&gt;0,Enhancements!$G$16,IF(IFERROR(FIND("Bone",$B9,1),0)&gt;0,Enhancements!#REF!,IF(IFERROR(FIND("Cloth",$B9,1),0)&gt;0,Enhancements!$G$25,""))))))))</f>
        <v/>
      </c>
      <c r="G9" s="12" t="str">
        <f>IF($B9=0,"",IF(IFERROR(FIND("Metal",$B9,1),0)&gt;0,Enhancements!$G$21,IF(IFERROR(FIND("Rope",$B9,1),0)&gt;0,Enhancements!#REF!,IF(IFERROR(FIND("Blessings",$B9,1),0)&gt;0,Enhancements!#REF!,IF(IFERROR(FIND("Wood",$B9,1),0)&gt;0,Enhancements!$G$13,IF(IFERROR(FIND("Leather",$B9,1),0)&gt;0,Enhancements!$G$17,IF(IFERROR(FIND("Bone",$B9,1),0)&gt;0,Enhancements!#REF!,IF(IFERROR(FIND("Cloth",$B9,1),0)&gt;0,Enhancements!$G$26,""))))))))</f>
        <v/>
      </c>
      <c r="H9" s="12" t="str">
        <f>IF($B9=0,"",IF(IFERROR(FIND("Metal",$B9,1),0)&gt;0,Enhancements!$G$22,IF(IFERROR(FIND("Blessings",$B9,1),0)&gt;0,Enhancements!#REF!,IF(IFERROR(FIND("Wood",$B9,1),0)&gt;0,Enhancements!$G$14,IF(IFERROR(FIND("Leather",$B9,1),0)&gt;0,Enhancements!$G$18,IF(IFERROR(FIND("Bone",$B9,1),0)&gt;0,Enhancements!#REF!,IF(IFERROR(FIND("Cloth",$B9,1),0)&gt;0,Enhancements!$G$27,"")))))))</f>
        <v/>
      </c>
      <c r="I9" s="12"/>
      <c r="K9" s="12" t="str">
        <f>IF(IFERROR(FIND("Metal+Wood",$B9,1),0)&gt;0,Enhancements!$G$7,"")</f>
        <v/>
      </c>
      <c r="L9" s="12" t="str">
        <f>IF(IFERROR(FIND("Metal+Wood",$B9,1),0)&gt;0,Enhancements!$G$8,"")</f>
        <v/>
      </c>
      <c r="M9" s="12" t="str">
        <f>IF(IFERROR(FIND("Metal+Wood",$B9,1),0)&gt;0,Enhancements!$G$9,"")</f>
        <v/>
      </c>
      <c r="N9" s="12" t="str">
        <f>IF(IFERROR(FIND("Metal+Wood",$B9,1),0)&gt;0,Enhancements!$G$10,"")</f>
        <v/>
      </c>
      <c r="O9" s="12"/>
      <c r="Q9" s="2" t="s">
        <v>149</v>
      </c>
      <c r="R9" s="5"/>
      <c r="S9" s="2" t="s">
        <v>146</v>
      </c>
      <c r="T9" s="5" t="s">
        <v>166</v>
      </c>
      <c r="U9" s="5" t="s">
        <v>166</v>
      </c>
      <c r="V9" s="5" t="s">
        <v>175</v>
      </c>
      <c r="W9" s="5" t="s">
        <v>797</v>
      </c>
      <c r="X9" s="2" t="s">
        <v>163</v>
      </c>
      <c r="Y9" s="5" t="s">
        <v>724</v>
      </c>
      <c r="Z9" s="5">
        <f>Cost_Compute!D105</f>
        <v>0</v>
      </c>
      <c r="AA9" s="5" t="str">
        <f>IFERROR(HLOOKUP($Z9,Magic_Lores!$A$1:$ES$3,MATCH(Magic_Lores!$A$3,Magic_Lores!$A$1:$A$3,0),FALSE),"")</f>
        <v/>
      </c>
      <c r="AB9" s="5"/>
      <c r="AC9" s="46" t="s">
        <v>38</v>
      </c>
      <c r="AD9" s="73">
        <v>8</v>
      </c>
      <c r="AE9" s="46" t="s">
        <v>431</v>
      </c>
      <c r="AG9" s="70" t="s">
        <v>96</v>
      </c>
    </row>
    <row r="10" spans="1:33" ht="31.5" x14ac:dyDescent="0.25">
      <c r="A10" t="str">
        <f>Character_Builder!G33</f>
        <v>Head B:</v>
      </c>
      <c r="B10">
        <f>Character_Builder!H33</f>
        <v>0</v>
      </c>
      <c r="E10" s="12" t="str">
        <f>IF($B10=0,"",IF(IFERROR(FIND("Metal",$B10,1),0)&gt;0,Enhancements!$G$19,IF(IFERROR(FIND("Rope",$B10,1),0)&gt;0,Enhancements!#REF!,IF(IFERROR(FIND("Blessings",$B10,1),0)&gt;0,Enhancements!#REF!,IF(IFERROR(FIND("Wood",$B10,1),0)&gt;0,Enhancements!$G$11,IF(IFERROR(FIND("Leather",$B10,1),0)&gt;0,Enhancements!$G$15,IF(IFERROR(FIND("Bone",$B10,1),0)&gt;0,Enhancements!#REF!,IF(IFERROR(FIND("Cloth",$B10,1),0)&gt;0,Enhancements!$G$24,""))))))))</f>
        <v/>
      </c>
      <c r="F10" s="12" t="str">
        <f>IF($B10=0,"",IF(IFERROR(FIND("Metal",$B10,1),0)&gt;0,Enhancements!$G$20,IF(IFERROR(FIND("Rope",$B10,1),0)&gt;0,Enhancements!#REF!,IF(IFERROR(FIND("Blessings",$B10,1),0)&gt;0,Enhancements!#REF!,IF(IFERROR(FIND("Wood",$B10,1),0)&gt;0,Enhancements!$G$12,IF(IFERROR(FIND("Leather",$B10,1),0)&gt;0,Enhancements!$G$16,IF(IFERROR(FIND("Bone",$B10,1),0)&gt;0,Enhancements!#REF!,IF(IFERROR(FIND("Cloth",$B10,1),0)&gt;0,Enhancements!$G$25,""))))))))</f>
        <v/>
      </c>
      <c r="G10" s="12" t="str">
        <f>IF($B10=0,"",IF(IFERROR(FIND("Metal",$B10,1),0)&gt;0,Enhancements!$G$21,IF(IFERROR(FIND("Rope",$B10,1),0)&gt;0,Enhancements!#REF!,IF(IFERROR(FIND("Blessings",$B10,1),0)&gt;0,Enhancements!#REF!,IF(IFERROR(FIND("Wood",$B10,1),0)&gt;0,Enhancements!$G$13,IF(IFERROR(FIND("Leather",$B10,1),0)&gt;0,Enhancements!$G$17,IF(IFERROR(FIND("Bone",$B10,1),0)&gt;0,Enhancements!#REF!,IF(IFERROR(FIND("Cloth",$B10,1),0)&gt;0,Enhancements!$G$26,""))))))))</f>
        <v/>
      </c>
      <c r="H10" s="12" t="str">
        <f>IF($B10=0,"",IF(IFERROR(FIND("Metal",$B10,1),0)&gt;0,Enhancements!$G$22,IF(IFERROR(FIND("Blessings",$B10,1),0)&gt;0,Enhancements!#REF!,IF(IFERROR(FIND("Wood",$B10,1),0)&gt;0,Enhancements!$G$14,IF(IFERROR(FIND("Leather",$B10,1),0)&gt;0,Enhancements!$G$18,IF(IFERROR(FIND("Bone",$B10,1),0)&gt;0,Enhancements!#REF!,IF(IFERROR(FIND("Cloth",$B10,1),0)&gt;0,Enhancements!$G$27,"")))))))</f>
        <v/>
      </c>
      <c r="I10" s="12"/>
      <c r="K10" s="12" t="str">
        <f>IF(IFERROR(FIND("Metal+Wood",$B10,1),0)&gt;0,Enhancements!$G$7,"")</f>
        <v/>
      </c>
      <c r="L10" s="12" t="str">
        <f>IF(IFERROR(FIND("Metal+Wood",$B10,1),0)&gt;0,Enhancements!$G$8,"")</f>
        <v/>
      </c>
      <c r="M10" s="12" t="str">
        <f>IF(IFERROR(FIND("Metal+Wood",$B10,1),0)&gt;0,Enhancements!$G$9,"")</f>
        <v/>
      </c>
      <c r="N10" s="12" t="str">
        <f>IF(IFERROR(FIND("Metal+Wood",$B10,1),0)&gt;0,Enhancements!$G$10,"")</f>
        <v/>
      </c>
      <c r="O10" s="12"/>
      <c r="Q10" s="2" t="s">
        <v>683</v>
      </c>
      <c r="R10" s="5"/>
      <c r="S10" s="2" t="s">
        <v>150</v>
      </c>
      <c r="T10" s="5" t="s">
        <v>164</v>
      </c>
      <c r="U10" s="5" t="s">
        <v>164</v>
      </c>
      <c r="V10" s="5" t="s">
        <v>177</v>
      </c>
      <c r="W10" s="5"/>
      <c r="X10" s="2" t="s">
        <v>167</v>
      </c>
      <c r="Y10" s="5" t="s">
        <v>168</v>
      </c>
      <c r="Z10" s="5">
        <f>Cost_Compute!D106</f>
        <v>0</v>
      </c>
      <c r="AA10" s="5" t="str">
        <f>IFERROR(HLOOKUP($Z10,Magic_Lores!$A$1:$ES$3,MATCH(Magic_Lores!$A$3,Magic_Lores!$A$1:$A$3,0),FALSE),"")</f>
        <v/>
      </c>
      <c r="AB10" s="5"/>
      <c r="AC10" s="46" t="s">
        <v>419</v>
      </c>
      <c r="AD10" s="73">
        <v>9</v>
      </c>
      <c r="AE10" s="46" t="s">
        <v>432</v>
      </c>
      <c r="AG10" s="70" t="s">
        <v>95</v>
      </c>
    </row>
    <row r="11" spans="1:33" ht="47.25" x14ac:dyDescent="0.25">
      <c r="A11" t="str">
        <f>Character_Builder!G34</f>
        <v>Torso A:</v>
      </c>
      <c r="B11">
        <f>Character_Builder!H34</f>
        <v>0</v>
      </c>
      <c r="E11" s="12" t="str">
        <f>IF($B11=0,"",IF(IFERROR(FIND("Metal",$B11,1),0)&gt;0,Enhancements!$G$19,IF(IFERROR(FIND("Rope",$B11,1),0)&gt;0,Enhancements!#REF!,IF(IFERROR(FIND("Blessings",$B11,1),0)&gt;0,Enhancements!#REF!,IF(IFERROR(FIND("Wood",$B11,1),0)&gt;0,Enhancements!$G$11,IF(IFERROR(FIND("Leather",$B11,1),0)&gt;0,Enhancements!$G$15,IF(IFERROR(FIND("Bone",$B11,1),0)&gt;0,Enhancements!#REF!,IF(IFERROR(FIND("Cloth",$B11,1),0)&gt;0,Enhancements!$G$24,""))))))))</f>
        <v/>
      </c>
      <c r="F11" s="12" t="str">
        <f>IF($B11=0,"",IF(IFERROR(FIND("Metal",$B11,1),0)&gt;0,Enhancements!$G$20,IF(IFERROR(FIND("Rope",$B11,1),0)&gt;0,Enhancements!#REF!,IF(IFERROR(FIND("Blessings",$B11,1),0)&gt;0,Enhancements!#REF!,IF(IFERROR(FIND("Wood",$B11,1),0)&gt;0,Enhancements!$G$12,IF(IFERROR(FIND("Leather",$B11,1),0)&gt;0,Enhancements!$G$16,IF(IFERROR(FIND("Bone",$B11,1),0)&gt;0,Enhancements!#REF!,IF(IFERROR(FIND("Cloth",$B11,1),0)&gt;0,Enhancements!$G$25,""))))))))</f>
        <v/>
      </c>
      <c r="G11" s="12" t="str">
        <f>IF($B11=0,"",IF(IFERROR(FIND("Metal",$B11,1),0)&gt;0,Enhancements!$G$21,IF(IFERROR(FIND("Rope",$B11,1),0)&gt;0,Enhancements!#REF!,IF(IFERROR(FIND("Blessings",$B11,1),0)&gt;0,Enhancements!#REF!,IF(IFERROR(FIND("Wood",$B11,1),0)&gt;0,Enhancements!$G$13,IF(IFERROR(FIND("Leather",$B11,1),0)&gt;0,Enhancements!$G$17,IF(IFERROR(FIND("Bone",$B11,1),0)&gt;0,Enhancements!#REF!,IF(IFERROR(FIND("Cloth",$B11,1),0)&gt;0,Enhancements!$G$26,""))))))))</f>
        <v/>
      </c>
      <c r="H11" s="12" t="str">
        <f>IF($B11=0,"",IF(IFERROR(FIND("Metal",$B11,1),0)&gt;0,Enhancements!$G$22,IF(IFERROR(FIND("Blessings",$B11,1),0)&gt;0,Enhancements!#REF!,IF(IFERROR(FIND("Wood",$B11,1),0)&gt;0,Enhancements!$G$14,IF(IFERROR(FIND("Leather",$B11,1),0)&gt;0,Enhancements!$G$18,IF(IFERROR(FIND("Bone",$B11,1),0)&gt;0,Enhancements!#REF!,IF(IFERROR(FIND("Cloth",$B11,1),0)&gt;0,Enhancements!$G$27,"")))))))</f>
        <v/>
      </c>
      <c r="I11" s="12"/>
      <c r="K11" s="12" t="str">
        <f>IF(IFERROR(FIND("Metal+Wood",$B11,1),0)&gt;0,Enhancements!$G$7,"")</f>
        <v/>
      </c>
      <c r="L11" s="12" t="str">
        <f>IF(IFERROR(FIND("Metal+Wood",$B11,1),0)&gt;0,Enhancements!$G$8,"")</f>
        <v/>
      </c>
      <c r="M11" s="12" t="str">
        <f>IF(IFERROR(FIND("Metal+Wood",$B11,1),0)&gt;0,Enhancements!$G$9,"")</f>
        <v/>
      </c>
      <c r="N11" s="12" t="str">
        <f>IF(IFERROR(FIND("Metal+Wood",$B11,1),0)&gt;0,Enhancements!$G$10,"")</f>
        <v/>
      </c>
      <c r="O11" s="12"/>
      <c r="Q11" s="2" t="s">
        <v>146</v>
      </c>
      <c r="R11" s="5"/>
      <c r="S11" s="2"/>
      <c r="T11" s="5" t="s">
        <v>165</v>
      </c>
      <c r="U11" s="5" t="s">
        <v>165</v>
      </c>
      <c r="V11" s="5" t="s">
        <v>174</v>
      </c>
      <c r="W11" s="5" t="s">
        <v>731</v>
      </c>
      <c r="X11" s="2"/>
      <c r="Y11" s="5" t="s">
        <v>170</v>
      </c>
      <c r="Z11" s="5">
        <f>Cost_Compute!D107</f>
        <v>0</v>
      </c>
      <c r="AA11" s="5" t="str">
        <f>IFERROR(HLOOKUP($Z11,Magic_Lores!$A$1:$ES$3,MATCH(Magic_Lores!$A$3,Magic_Lores!$A$1:$A$3,0),FALSE),"")</f>
        <v/>
      </c>
      <c r="AB11" s="5"/>
      <c r="AC11" s="46" t="s">
        <v>420</v>
      </c>
      <c r="AD11" s="73">
        <v>10</v>
      </c>
      <c r="AE11" s="46" t="s">
        <v>835</v>
      </c>
      <c r="AG11" s="70" t="s">
        <v>91</v>
      </c>
    </row>
    <row r="12" spans="1:33" ht="31.5" x14ac:dyDescent="0.25">
      <c r="A12" t="str">
        <f>Character_Builder!G35</f>
        <v>Torso B:</v>
      </c>
      <c r="B12">
        <f>Character_Builder!H35</f>
        <v>0</v>
      </c>
      <c r="E12" s="12" t="str">
        <f>IF($B12=0,"",IF(IFERROR(FIND("Metal",$B12,1),0)&gt;0,Enhancements!$G$19,IF(IFERROR(FIND("Rope",$B12,1),0)&gt;0,Enhancements!#REF!,IF(IFERROR(FIND("Blessings",$B12,1),0)&gt;0,Enhancements!#REF!,IF(IFERROR(FIND("Wood",$B12,1),0)&gt;0,Enhancements!$G$11,IF(IFERROR(FIND("Leather",$B12,1),0)&gt;0,Enhancements!$G$15,IF(IFERROR(FIND("Bone",$B12,1),0)&gt;0,Enhancements!#REF!,IF(IFERROR(FIND("Cloth",$B12,1),0)&gt;0,Enhancements!$G$24,""))))))))</f>
        <v/>
      </c>
      <c r="F12" s="12" t="str">
        <f>IF($B12=0,"",IF(IFERROR(FIND("Metal",$B12,1),0)&gt;0,Enhancements!$G$20,IF(IFERROR(FIND("Rope",$B12,1),0)&gt;0,Enhancements!#REF!,IF(IFERROR(FIND("Blessings",$B12,1),0)&gt;0,Enhancements!#REF!,IF(IFERROR(FIND("Wood",$B12,1),0)&gt;0,Enhancements!$G$12,IF(IFERROR(FIND("Leather",$B12,1),0)&gt;0,Enhancements!$G$16,IF(IFERROR(FIND("Bone",$B12,1),0)&gt;0,Enhancements!#REF!,IF(IFERROR(FIND("Cloth",$B12,1),0)&gt;0,Enhancements!$G$25,""))))))))</f>
        <v/>
      </c>
      <c r="G12" s="12" t="str">
        <f>IF($B12=0,"",IF(IFERROR(FIND("Metal",$B12,1),0)&gt;0,Enhancements!$G$21,IF(IFERROR(FIND("Rope",$B12,1),0)&gt;0,Enhancements!#REF!,IF(IFERROR(FIND("Blessings",$B12,1),0)&gt;0,Enhancements!#REF!,IF(IFERROR(FIND("Wood",$B12,1),0)&gt;0,Enhancements!$G$13,IF(IFERROR(FIND("Leather",$B12,1),0)&gt;0,Enhancements!$G$17,IF(IFERROR(FIND("Bone",$B12,1),0)&gt;0,Enhancements!#REF!,IF(IFERROR(FIND("Cloth",$B12,1),0)&gt;0,Enhancements!$G$26,""))))))))</f>
        <v/>
      </c>
      <c r="H12" s="12" t="str">
        <f>IF($B12=0,"",IF(IFERROR(FIND("Metal",$B12,1),0)&gt;0,Enhancements!$G$22,IF(IFERROR(FIND("Blessings",$B12,1),0)&gt;0,Enhancements!#REF!,IF(IFERROR(FIND("Wood",$B12,1),0)&gt;0,Enhancements!$G$14,IF(IFERROR(FIND("Leather",$B12,1),0)&gt;0,Enhancements!$G$18,IF(IFERROR(FIND("Bone",$B12,1),0)&gt;0,Enhancements!#REF!,IF(IFERROR(FIND("Cloth",$B12,1),0)&gt;0,Enhancements!$G$27,"")))))))</f>
        <v/>
      </c>
      <c r="I12" s="12"/>
      <c r="K12" s="12" t="str">
        <f>IF(IFERROR(FIND("Metal+Wood",$B12,1),0)&gt;0,Enhancements!$G$7,"")</f>
        <v/>
      </c>
      <c r="L12" s="12" t="str">
        <f>IF(IFERROR(FIND("Metal+Wood",$B12,1),0)&gt;0,Enhancements!$G$8,"")</f>
        <v/>
      </c>
      <c r="M12" s="12" t="str">
        <f>IF(IFERROR(FIND("Metal+Wood",$B12,1),0)&gt;0,Enhancements!$G$9,"")</f>
        <v/>
      </c>
      <c r="N12" s="12" t="str">
        <f>IF(IFERROR(FIND("Metal+Wood",$B12,1),0)&gt;0,Enhancements!$G$10,"")</f>
        <v/>
      </c>
      <c r="O12" s="12"/>
      <c r="Q12" s="2" t="s">
        <v>153</v>
      </c>
      <c r="R12" s="5"/>
      <c r="S12" s="80" t="s">
        <v>724</v>
      </c>
      <c r="T12" s="5" t="s">
        <v>163</v>
      </c>
      <c r="U12" s="5" t="s">
        <v>163</v>
      </c>
      <c r="V12" s="5" t="s">
        <v>176</v>
      </c>
      <c r="W12" s="5" t="s">
        <v>508</v>
      </c>
      <c r="X12" s="80" t="s">
        <v>739</v>
      </c>
      <c r="Y12" s="5" t="s">
        <v>169</v>
      </c>
      <c r="Z12" s="5">
        <f>Cost_Compute!D108</f>
        <v>0</v>
      </c>
      <c r="AA12" s="5" t="str">
        <f>IFERROR(HLOOKUP($Z12,Magic_Lores!$A$1:$ES$3,MATCH(Magic_Lores!$A$3,Magic_Lores!$A$1:$A$3,0),FALSE),"")</f>
        <v/>
      </c>
      <c r="AB12" s="5"/>
      <c r="AC12" s="46" t="s">
        <v>421</v>
      </c>
      <c r="AD12" s="73">
        <v>11</v>
      </c>
      <c r="AE12" s="46" t="s">
        <v>836</v>
      </c>
      <c r="AG12" s="70" t="s">
        <v>97</v>
      </c>
    </row>
    <row r="13" spans="1:33" ht="63" x14ac:dyDescent="0.25">
      <c r="A13" t="str">
        <f>Character_Builder!G36</f>
        <v>Torso C:</v>
      </c>
      <c r="B13">
        <f>Character_Builder!H36</f>
        <v>0</v>
      </c>
      <c r="E13" s="12" t="str">
        <f>IF($B13=0,"",IF(IFERROR(FIND("Metal",$B13,1),0)&gt;0,Enhancements!$G$19,IF(IFERROR(FIND("Rope",$B13,1),0)&gt;0,Enhancements!#REF!,IF(IFERROR(FIND("Blessings",$B13,1),0)&gt;0,Enhancements!#REF!,IF(IFERROR(FIND("Wood",$B13,1),0)&gt;0,Enhancements!$G$11,IF(IFERROR(FIND("Leather",$B13,1),0)&gt;0,Enhancements!$G$15,IF(IFERROR(FIND("Bone",$B13,1),0)&gt;0,Enhancements!#REF!,IF(IFERROR(FIND("Cloth",$B13,1),0)&gt;0,Enhancements!$G$24,""))))))))</f>
        <v/>
      </c>
      <c r="F13" s="12" t="str">
        <f>IF($B13=0,"",IF(IFERROR(FIND("Metal",$B13,1),0)&gt;0,Enhancements!$G$20,IF(IFERROR(FIND("Rope",$B13,1),0)&gt;0,Enhancements!#REF!,IF(IFERROR(FIND("Blessings",$B13,1),0)&gt;0,Enhancements!#REF!,IF(IFERROR(FIND("Wood",$B13,1),0)&gt;0,Enhancements!$G$12,IF(IFERROR(FIND("Leather",$B13,1),0)&gt;0,Enhancements!$G$16,IF(IFERROR(FIND("Bone",$B13,1),0)&gt;0,Enhancements!#REF!,IF(IFERROR(FIND("Cloth",$B13,1),0)&gt;0,Enhancements!$G$25,""))))))))</f>
        <v/>
      </c>
      <c r="G13" s="12" t="str">
        <f>IF($B13=0,"",IF(IFERROR(FIND("Metal",$B13,1),0)&gt;0,Enhancements!$G$21,IF(IFERROR(FIND("Rope",$B13,1),0)&gt;0,Enhancements!#REF!,IF(IFERROR(FIND("Blessings",$B13,1),0)&gt;0,Enhancements!#REF!,IF(IFERROR(FIND("Wood",$B13,1),0)&gt;0,Enhancements!$G$13,IF(IFERROR(FIND("Leather",$B13,1),0)&gt;0,Enhancements!$G$17,IF(IFERROR(FIND("Bone",$B13,1),0)&gt;0,Enhancements!#REF!,IF(IFERROR(FIND("Cloth",$B13,1),0)&gt;0,Enhancements!$G$26,""))))))))</f>
        <v/>
      </c>
      <c r="H13" s="12" t="str">
        <f>IF($B13=0,"",IF(IFERROR(FIND("Metal",$B13,1),0)&gt;0,Enhancements!$G$22,IF(IFERROR(FIND("Blessings",$B13,1),0)&gt;0,Enhancements!#REF!,IF(IFERROR(FIND("Wood",$B13,1),0)&gt;0,Enhancements!$G$14,IF(IFERROR(FIND("Leather",$B13,1),0)&gt;0,Enhancements!$G$18,IF(IFERROR(FIND("Bone",$B13,1),0)&gt;0,Enhancements!#REF!,IF(IFERROR(FIND("Cloth",$B13,1),0)&gt;0,Enhancements!$G$27,"")))))))</f>
        <v/>
      </c>
      <c r="I13" s="12"/>
      <c r="K13" s="12" t="str">
        <f>IF(IFERROR(FIND("Metal+Wood",$B13,1),0)&gt;0,Enhancements!$G$7,"")</f>
        <v/>
      </c>
      <c r="L13" s="12" t="str">
        <f>IF(IFERROR(FIND("Metal+Wood",$B13,1),0)&gt;0,Enhancements!$G$8,"")</f>
        <v/>
      </c>
      <c r="M13" s="12" t="str">
        <f>IF(IFERROR(FIND("Metal+Wood",$B13,1),0)&gt;0,Enhancements!$G$9,"")</f>
        <v/>
      </c>
      <c r="N13" s="12" t="str">
        <f>IF(IFERROR(FIND("Metal+Wood",$B13,1),0)&gt;0,Enhancements!$G$10,"")</f>
        <v/>
      </c>
      <c r="O13" s="12"/>
      <c r="Q13" s="2" t="s">
        <v>156</v>
      </c>
      <c r="R13" s="5"/>
      <c r="S13" s="2" t="s">
        <v>166</v>
      </c>
      <c r="T13" s="51"/>
      <c r="U13" s="51"/>
      <c r="V13" s="5" t="s">
        <v>178</v>
      </c>
      <c r="W13" s="5" t="s">
        <v>510</v>
      </c>
      <c r="X13" s="2" t="s">
        <v>178</v>
      </c>
      <c r="Y13" s="5" t="s">
        <v>167</v>
      </c>
      <c r="Z13" s="5">
        <f>Cost_Compute!D109</f>
        <v>0</v>
      </c>
      <c r="AA13" s="5" t="str">
        <f>IFERROR(HLOOKUP($Z13,Magic_Lores!$A$1:$ES$3,MATCH(Magic_Lores!$A$3,Magic_Lores!$A$1:$A$3,0),FALSE),"")</f>
        <v/>
      </c>
      <c r="AB13" s="5"/>
      <c r="AC13" s="46" t="s">
        <v>422</v>
      </c>
      <c r="AD13" s="73">
        <v>12</v>
      </c>
      <c r="AE13" s="46" t="s">
        <v>378</v>
      </c>
      <c r="AG13" s="70" t="s">
        <v>83</v>
      </c>
    </row>
    <row r="14" spans="1:33" ht="47.25" x14ac:dyDescent="0.25">
      <c r="A14" t="str">
        <f>Character_Builder!G37</f>
        <v>Arms A:</v>
      </c>
      <c r="B14">
        <f>Character_Builder!H37</f>
        <v>0</v>
      </c>
      <c r="E14" s="12" t="str">
        <f>IF($B14=0,"",IF(IFERROR(FIND("Metal",$B14,1),0)&gt;0,Enhancements!$G$19,IF(IFERROR(FIND("Rope",$B14,1),0)&gt;0,Enhancements!#REF!,IF(IFERROR(FIND("Blessings",$B14,1),0)&gt;0,Enhancements!#REF!,IF(IFERROR(FIND("Wood",$B14,1),0)&gt;0,Enhancements!$G$11,IF(IFERROR(FIND("Leather",$B14,1),0)&gt;0,Enhancements!$G$15,IF(IFERROR(FIND("Bone",$B14,1),0)&gt;0,Enhancements!#REF!,IF(IFERROR(FIND("Cloth",$B14,1),0)&gt;0,Enhancements!$G$24,""))))))))</f>
        <v/>
      </c>
      <c r="F14" s="12" t="str">
        <f>IF($B14=0,"",IF(IFERROR(FIND("Metal",$B14,1),0)&gt;0,Enhancements!$G$20,IF(IFERROR(FIND("Rope",$B14,1),0)&gt;0,Enhancements!#REF!,IF(IFERROR(FIND("Blessings",$B14,1),0)&gt;0,Enhancements!#REF!,IF(IFERROR(FIND("Wood",$B14,1),0)&gt;0,Enhancements!$G$12,IF(IFERROR(FIND("Leather",$B14,1),0)&gt;0,Enhancements!$G$16,IF(IFERROR(FIND("Bone",$B14,1),0)&gt;0,Enhancements!#REF!,IF(IFERROR(FIND("Cloth",$B14,1),0)&gt;0,Enhancements!$G$25,""))))))))</f>
        <v/>
      </c>
      <c r="G14" s="12" t="str">
        <f>IF($B14=0,"",IF(IFERROR(FIND("Metal",$B14,1),0)&gt;0,Enhancements!$G$21,IF(IFERROR(FIND("Rope",$B14,1),0)&gt;0,Enhancements!#REF!,IF(IFERROR(FIND("Blessings",$B14,1),0)&gt;0,Enhancements!#REF!,IF(IFERROR(FIND("Wood",$B14,1),0)&gt;0,Enhancements!$G$13,IF(IFERROR(FIND("Leather",$B14,1),0)&gt;0,Enhancements!$G$17,IF(IFERROR(FIND("Bone",$B14,1),0)&gt;0,Enhancements!#REF!,IF(IFERROR(FIND("Cloth",$B14,1),0)&gt;0,Enhancements!$G$26,""))))))))</f>
        <v/>
      </c>
      <c r="H14" s="12" t="str">
        <f>IF($B14=0,"",IF(IFERROR(FIND("Metal",$B14,1),0)&gt;0,Enhancements!$G$22,IF(IFERROR(FIND("Blessings",$B14,1),0)&gt;0,Enhancements!#REF!,IF(IFERROR(FIND("Wood",$B14,1),0)&gt;0,Enhancements!$G$14,IF(IFERROR(FIND("Leather",$B14,1),0)&gt;0,Enhancements!$G$18,IF(IFERROR(FIND("Bone",$B14,1),0)&gt;0,Enhancements!#REF!,IF(IFERROR(FIND("Cloth",$B14,1),0)&gt;0,Enhancements!$G$27,"")))))))</f>
        <v/>
      </c>
      <c r="I14" s="12"/>
      <c r="K14" s="12" t="str">
        <f>IF(IFERROR(FIND("Metal+Wood",$B14,1),0)&gt;0,Enhancements!$G$7,"")</f>
        <v/>
      </c>
      <c r="L14" s="12" t="str">
        <f>IF(IFERROR(FIND("Metal+Wood",$B14,1),0)&gt;0,Enhancements!$G$8,"")</f>
        <v/>
      </c>
      <c r="M14" s="12" t="str">
        <f>IF(IFERROR(FIND("Metal+Wood",$B14,1),0)&gt;0,Enhancements!$G$9,"")</f>
        <v/>
      </c>
      <c r="N14" s="12" t="str">
        <f>IF(IFERROR(FIND("Metal+Wood",$B14,1),0)&gt;0,Enhancements!$G$10,"")</f>
        <v/>
      </c>
      <c r="O14" s="12"/>
      <c r="Q14" s="2" t="s">
        <v>150</v>
      </c>
      <c r="R14" s="5"/>
      <c r="S14" s="2" t="s">
        <v>164</v>
      </c>
      <c r="T14" s="5" t="s">
        <v>739</v>
      </c>
      <c r="U14" s="5" t="s">
        <v>739</v>
      </c>
      <c r="V14" s="5" t="s">
        <v>179</v>
      </c>
      <c r="W14" s="5" t="s">
        <v>517</v>
      </c>
      <c r="X14" s="2" t="s">
        <v>175</v>
      </c>
      <c r="Y14" s="51"/>
      <c r="Z14" s="5">
        <f>Cost_Compute!D110</f>
        <v>0</v>
      </c>
      <c r="AA14" s="5" t="str">
        <f>IFERROR(HLOOKUP($Z14,Magic_Lores!$A$1:$ES$3,MATCH(Magic_Lores!$A$3,Magic_Lores!$A$1:$A$3,0),FALSE),"")</f>
        <v/>
      </c>
      <c r="AB14" s="5"/>
      <c r="AC14" s="46" t="s">
        <v>405</v>
      </c>
      <c r="AD14" s="73">
        <v>13</v>
      </c>
      <c r="AE14" s="46" t="s">
        <v>379</v>
      </c>
      <c r="AG14" s="70" t="s">
        <v>722</v>
      </c>
    </row>
    <row r="15" spans="1:33" ht="47.25" x14ac:dyDescent="0.25">
      <c r="A15" t="str">
        <f>Character_Builder!G38</f>
        <v>Arms B:</v>
      </c>
      <c r="B15">
        <f>Character_Builder!H38</f>
        <v>0</v>
      </c>
      <c r="E15" s="12" t="str">
        <f>IF($B15=0,"",IF(IFERROR(FIND("Metal",$B15,1),0)&gt;0,Enhancements!$G$19,IF(IFERROR(FIND("Rope",$B15,1),0)&gt;0,Enhancements!#REF!,IF(IFERROR(FIND("Blessings",$B15,1),0)&gt;0,Enhancements!#REF!,IF(IFERROR(FIND("Wood",$B15,1),0)&gt;0,Enhancements!$G$11,IF(IFERROR(FIND("Leather",$B15,1),0)&gt;0,Enhancements!$G$15,IF(IFERROR(FIND("Bone",$B15,1),0)&gt;0,Enhancements!#REF!,IF(IFERROR(FIND("Cloth",$B15,1),0)&gt;0,Enhancements!$G$24,""))))))))</f>
        <v/>
      </c>
      <c r="F15" s="12" t="str">
        <f>IF($B15=0,"",IF(IFERROR(FIND("Metal",$B15,1),0)&gt;0,Enhancements!$G$20,IF(IFERROR(FIND("Rope",$B15,1),0)&gt;0,Enhancements!#REF!,IF(IFERROR(FIND("Blessings",$B15,1),0)&gt;0,Enhancements!#REF!,IF(IFERROR(FIND("Wood",$B15,1),0)&gt;0,Enhancements!$G$12,IF(IFERROR(FIND("Leather",$B15,1),0)&gt;0,Enhancements!$G$16,IF(IFERROR(FIND("Bone",$B15,1),0)&gt;0,Enhancements!#REF!,IF(IFERROR(FIND("Cloth",$B15,1),0)&gt;0,Enhancements!$G$25,""))))))))</f>
        <v/>
      </c>
      <c r="G15" s="12" t="str">
        <f>IF($B15=0,"",IF(IFERROR(FIND("Metal",$B15,1),0)&gt;0,Enhancements!$G$21,IF(IFERROR(FIND("Rope",$B15,1),0)&gt;0,Enhancements!#REF!,IF(IFERROR(FIND("Blessings",$B15,1),0)&gt;0,Enhancements!#REF!,IF(IFERROR(FIND("Wood",$B15,1),0)&gt;0,Enhancements!$G$13,IF(IFERROR(FIND("Leather",$B15,1),0)&gt;0,Enhancements!$G$17,IF(IFERROR(FIND("Bone",$B15,1),0)&gt;0,Enhancements!#REF!,IF(IFERROR(FIND("Cloth",$B15,1),0)&gt;0,Enhancements!$G$26,""))))))))</f>
        <v/>
      </c>
      <c r="H15" s="12" t="str">
        <f>IF($B15=0,"",IF(IFERROR(FIND("Metal",$B15,1),0)&gt;0,Enhancements!$G$22,IF(IFERROR(FIND("Blessings",$B15,1),0)&gt;0,Enhancements!#REF!,IF(IFERROR(FIND("Wood",$B15,1),0)&gt;0,Enhancements!$G$14,IF(IFERROR(FIND("Leather",$B15,1),0)&gt;0,Enhancements!$G$18,IF(IFERROR(FIND("Bone",$B15,1),0)&gt;0,Enhancements!#REF!,IF(IFERROR(FIND("Cloth",$B15,1),0)&gt;0,Enhancements!$G$27,"")))))))</f>
        <v/>
      </c>
      <c r="I15" s="12"/>
      <c r="K15" s="12" t="str">
        <f>IF(IFERROR(FIND("Metal+Wood",$B15,1),0)&gt;0,Enhancements!$G$7,"")</f>
        <v/>
      </c>
      <c r="L15" s="12" t="str">
        <f>IF(IFERROR(FIND("Metal+Wood",$B15,1),0)&gt;0,Enhancements!$G$8,"")</f>
        <v/>
      </c>
      <c r="M15" s="12" t="str">
        <f>IF(IFERROR(FIND("Metal+Wood",$B15,1),0)&gt;0,Enhancements!$G$9,"")</f>
        <v/>
      </c>
      <c r="N15" s="12" t="str">
        <f>IF(IFERROR(FIND("Metal+Wood",$B15,1),0)&gt;0,Enhancements!$G$10,"")</f>
        <v/>
      </c>
      <c r="O15" s="12"/>
      <c r="Q15" s="2"/>
      <c r="R15" s="5"/>
      <c r="S15" s="2" t="s">
        <v>168</v>
      </c>
      <c r="T15" s="5" t="s">
        <v>175</v>
      </c>
      <c r="U15" s="5" t="s">
        <v>175</v>
      </c>
      <c r="V15" s="5" t="s">
        <v>180</v>
      </c>
      <c r="W15" s="5" t="s">
        <v>509</v>
      </c>
      <c r="X15" s="2" t="s">
        <v>179</v>
      </c>
      <c r="Y15" s="5" t="s">
        <v>739</v>
      </c>
      <c r="Z15" s="5">
        <f>Cost_Compute!D111</f>
        <v>0</v>
      </c>
      <c r="AA15" s="5" t="str">
        <f>IFERROR(HLOOKUP($Z15,Magic_Lores!$A$1:$ES$3,MATCH(Magic_Lores!$A$3,Magic_Lores!$A$1:$A$3,0),FALSE),"")</f>
        <v/>
      </c>
      <c r="AB15" s="5"/>
      <c r="AC15" s="46" t="s">
        <v>856</v>
      </c>
      <c r="AD15" s="73">
        <v>14</v>
      </c>
      <c r="AE15" s="46" t="s">
        <v>380</v>
      </c>
      <c r="AG15" s="70" t="s">
        <v>350</v>
      </c>
    </row>
    <row r="16" spans="1:33" ht="63" x14ac:dyDescent="0.25">
      <c r="A16" t="str">
        <f>Character_Builder!G39</f>
        <v>Arms C:</v>
      </c>
      <c r="B16">
        <f>Character_Builder!H39</f>
        <v>0</v>
      </c>
      <c r="E16" s="12" t="str">
        <f>IF($B16=0,"",IF(IFERROR(FIND("Metal",$B16,1),0)&gt;0,Enhancements!$G$19,IF(IFERROR(FIND("Rope",$B16,1),0)&gt;0,Enhancements!#REF!,IF(IFERROR(FIND("Blessings",$B16,1),0)&gt;0,Enhancements!#REF!,IF(IFERROR(FIND("Wood",$B16,1),0)&gt;0,Enhancements!$G$11,IF(IFERROR(FIND("Leather",$B16,1),0)&gt;0,Enhancements!$G$15,IF(IFERROR(FIND("Bone",$B16,1),0)&gt;0,Enhancements!#REF!,IF(IFERROR(FIND("Cloth",$B16,1),0)&gt;0,Enhancements!$G$24,""))))))))</f>
        <v/>
      </c>
      <c r="F16" s="12" t="str">
        <f>IF($B16=0,"",IF(IFERROR(FIND("Metal",$B16,1),0)&gt;0,Enhancements!$G$20,IF(IFERROR(FIND("Rope",$B16,1),0)&gt;0,Enhancements!#REF!,IF(IFERROR(FIND("Blessings",$B16,1),0)&gt;0,Enhancements!#REF!,IF(IFERROR(FIND("Wood",$B16,1),0)&gt;0,Enhancements!$G$12,IF(IFERROR(FIND("Leather",$B16,1),0)&gt;0,Enhancements!$G$16,IF(IFERROR(FIND("Bone",$B16,1),0)&gt;0,Enhancements!#REF!,IF(IFERROR(FIND("Cloth",$B16,1),0)&gt;0,Enhancements!$G$25,""))))))))</f>
        <v/>
      </c>
      <c r="G16" s="12" t="str">
        <f>IF($B16=0,"",IF(IFERROR(FIND("Metal",$B16,1),0)&gt;0,Enhancements!$G$21,IF(IFERROR(FIND("Rope",$B16,1),0)&gt;0,Enhancements!#REF!,IF(IFERROR(FIND("Blessings",$B16,1),0)&gt;0,Enhancements!#REF!,IF(IFERROR(FIND("Wood",$B16,1),0)&gt;0,Enhancements!$G$13,IF(IFERROR(FIND("Leather",$B16,1),0)&gt;0,Enhancements!$G$17,IF(IFERROR(FIND("Bone",$B16,1),0)&gt;0,Enhancements!#REF!,IF(IFERROR(FIND("Cloth",$B16,1),0)&gt;0,Enhancements!$G$26,""))))))))</f>
        <v/>
      </c>
      <c r="H16" s="12" t="str">
        <f>IF($B16=0,"",IF(IFERROR(FIND("Metal",$B16,1),0)&gt;0,Enhancements!$G$22,IF(IFERROR(FIND("Blessings",$B16,1),0)&gt;0,Enhancements!#REF!,IF(IFERROR(FIND("Wood",$B16,1),0)&gt;0,Enhancements!$G$14,IF(IFERROR(FIND("Leather",$B16,1),0)&gt;0,Enhancements!$G$18,IF(IFERROR(FIND("Bone",$B16,1),0)&gt;0,Enhancements!#REF!,IF(IFERROR(FIND("Cloth",$B16,1),0)&gt;0,Enhancements!$G$27,"")))))))</f>
        <v/>
      </c>
      <c r="I16" s="12"/>
      <c r="K16" s="12" t="str">
        <f>IF(IFERROR(FIND("Metal+Wood",$B17,1),0)&gt;0,Enhancements!$G$7,"")</f>
        <v/>
      </c>
      <c r="L16" s="12" t="str">
        <f>IF(IFERROR(FIND("Metal+Wood",$B17,1),0)&gt;0,Enhancements!$G$8,"")</f>
        <v/>
      </c>
      <c r="M16" s="12" t="str">
        <f>IF(IFERROR(FIND("Metal+Wood",$B17,1),0)&gt;0,Enhancements!$G$9,"")</f>
        <v/>
      </c>
      <c r="N16" s="12" t="str">
        <f>IF(IFERROR(FIND("Metal+Wood",$B17,1),0)&gt;0,Enhancements!$G$10,"")</f>
        <v/>
      </c>
      <c r="O16" s="12"/>
      <c r="Q16" s="71" t="s">
        <v>724</v>
      </c>
      <c r="R16" s="5"/>
      <c r="S16" s="2" t="s">
        <v>170</v>
      </c>
      <c r="T16" s="5" t="s">
        <v>177</v>
      </c>
      <c r="U16" s="5" t="s">
        <v>177</v>
      </c>
      <c r="V16" s="5" t="s">
        <v>181</v>
      </c>
      <c r="W16" s="5"/>
      <c r="X16" s="2" t="s">
        <v>177</v>
      </c>
      <c r="Y16" s="5" t="s">
        <v>178</v>
      </c>
      <c r="Z16" s="5">
        <f>Cost_Compute!D112</f>
        <v>0</v>
      </c>
      <c r="AA16" s="5" t="str">
        <f>IFERROR(HLOOKUP($Z16,Magic_Lores!$A$1:$ES$3,MATCH(Magic_Lores!$A$3,Magic_Lores!$A$1:$A$3,0),FALSE),"")</f>
        <v/>
      </c>
      <c r="AB16" s="5"/>
      <c r="AC16" s="46" t="s">
        <v>43</v>
      </c>
      <c r="AD16" s="73">
        <v>15</v>
      </c>
      <c r="AE16" s="46" t="s">
        <v>381</v>
      </c>
      <c r="AG16" s="70" t="s">
        <v>92</v>
      </c>
    </row>
    <row r="17" spans="1:33" ht="63" x14ac:dyDescent="0.25">
      <c r="A17" t="str">
        <f>Character_Builder!G40</f>
        <v>Hip A:</v>
      </c>
      <c r="B17">
        <f>Character_Builder!H40</f>
        <v>0</v>
      </c>
      <c r="E17" s="12" t="str">
        <f>IF($B17=0,"",IF(IFERROR(FIND("Metal",$B17,1),0)&gt;0,Enhancements!$G$19,IF(IFERROR(FIND("Rope",$B17,1),0)&gt;0,Enhancements!#REF!,IF(IFERROR(FIND("Blessings",$B17,1),0)&gt;0,Enhancements!#REF!,IF(IFERROR(FIND("Wood",$B17,1),0)&gt;0,Enhancements!$G$11,IF(IFERROR(FIND("Leather",$B17,1),0)&gt;0,Enhancements!$G$15,IF(IFERROR(FIND("Bone",$B17,1),0)&gt;0,Enhancements!#REF!,IF(IFERROR(FIND("Cloth",$B17,1),0)&gt;0,Enhancements!$G$24,""))))))))</f>
        <v/>
      </c>
      <c r="F17" s="12" t="str">
        <f>IF($B17=0,"",IF(IFERROR(FIND("Metal",$B17,1),0)&gt;0,Enhancements!$G$20,IF(IFERROR(FIND("Rope",$B17,1),0)&gt;0,Enhancements!#REF!,IF(IFERROR(FIND("Blessings",$B17,1),0)&gt;0,Enhancements!#REF!,IF(IFERROR(FIND("Wood",$B17,1),0)&gt;0,Enhancements!$G$12,IF(IFERROR(FIND("Leather",$B17,1),0)&gt;0,Enhancements!$G$16,IF(IFERROR(FIND("Bone",$B17,1),0)&gt;0,Enhancements!#REF!,IF(IFERROR(FIND("Cloth",$B17,1),0)&gt;0,Enhancements!$G$25,""))))))))</f>
        <v/>
      </c>
      <c r="G17" s="12" t="str">
        <f>IF($B17=0,"",IF(IFERROR(FIND("Metal",$B17,1),0)&gt;0,Enhancements!$G$21,IF(IFERROR(FIND("Rope",$B17,1),0)&gt;0,Enhancements!#REF!,IF(IFERROR(FIND("Blessings",$B17,1),0)&gt;0,Enhancements!#REF!,IF(IFERROR(FIND("Wood",$B17,1),0)&gt;0,Enhancements!$G$13,IF(IFERROR(FIND("Leather",$B17,1),0)&gt;0,Enhancements!$G$17,IF(IFERROR(FIND("Bone",$B17,1),0)&gt;0,Enhancements!#REF!,IF(IFERROR(FIND("Cloth",$B17,1),0)&gt;0,Enhancements!$G$26,""))))))))</f>
        <v/>
      </c>
      <c r="H17" s="12" t="str">
        <f>IF($B17=0,"",IF(IFERROR(FIND("Metal",$B17,1),0)&gt;0,Enhancements!$G$22,IF(IFERROR(FIND("Blessings",$B17,1),0)&gt;0,Enhancements!#REF!,IF(IFERROR(FIND("Wood",$B17,1),0)&gt;0,Enhancements!$G$14,IF(IFERROR(FIND("Leather",$B17,1),0)&gt;0,Enhancements!$G$18,IF(IFERROR(FIND("Bone",$B17,1),0)&gt;0,Enhancements!#REF!,IF(IFERROR(FIND("Cloth",$B17,1),0)&gt;0,Enhancements!$G$27,"")))))))</f>
        <v/>
      </c>
      <c r="I17" s="12"/>
      <c r="K17" s="12" t="str">
        <f>IF(IFERROR(FIND("Metal+Wood",$B18,1),0)&gt;0,Enhancements!$G$7,"")</f>
        <v/>
      </c>
      <c r="L17" s="12" t="str">
        <f>IF(IFERROR(FIND("Metal+Wood",$B18,1),0)&gt;0,Enhancements!$G$8,"")</f>
        <v/>
      </c>
      <c r="M17" s="12" t="str">
        <f>IF(IFERROR(FIND("Metal+Wood",$B18,1),0)&gt;0,Enhancements!$G$9,"")</f>
        <v/>
      </c>
      <c r="N17" s="12" t="str">
        <f>IF(IFERROR(FIND("Metal+Wood",$B18,1),0)&gt;0,Enhancements!$G$10,"")</f>
        <v/>
      </c>
      <c r="O17" s="12"/>
      <c r="Q17" s="2" t="s">
        <v>489</v>
      </c>
      <c r="R17" s="5"/>
      <c r="S17" s="2" t="s">
        <v>165</v>
      </c>
      <c r="T17" s="5" t="s">
        <v>174</v>
      </c>
      <c r="U17" s="5" t="s">
        <v>174</v>
      </c>
      <c r="V17" s="51"/>
      <c r="W17" s="5" t="s">
        <v>730</v>
      </c>
      <c r="X17" s="2" t="s">
        <v>174</v>
      </c>
      <c r="Y17" s="5" t="s">
        <v>183</v>
      </c>
      <c r="Z17" s="5">
        <f>Cost_Compute!D113</f>
        <v>0</v>
      </c>
      <c r="AA17" s="5" t="str">
        <f>IFERROR(HLOOKUP($Z17,Magic_Lores!$A$1:$ES$3,MATCH(Magic_Lores!$A$3,Magic_Lores!$A$1:$A$3,0),FALSE),"")</f>
        <v/>
      </c>
      <c r="AB17" s="5"/>
      <c r="AC17" s="46" t="s">
        <v>323</v>
      </c>
      <c r="AD17" s="73">
        <v>16</v>
      </c>
      <c r="AE17" s="46" t="s">
        <v>382</v>
      </c>
      <c r="AG17" s="70" t="s">
        <v>94</v>
      </c>
    </row>
    <row r="18" spans="1:33" ht="47.25" x14ac:dyDescent="0.25">
      <c r="A18" t="str">
        <f>Character_Builder!G41</f>
        <v>Hip B:</v>
      </c>
      <c r="B18">
        <f>Character_Builder!H41</f>
        <v>0</v>
      </c>
      <c r="E18" s="12" t="str">
        <f>IF($B18=0,"",IF(IFERROR(FIND("Metal",$B18,1),0)&gt;0,Enhancements!$G$19,IF(IFERROR(FIND("Rope",$B18,1),0)&gt;0,Enhancements!#REF!,IF(IFERROR(FIND("Blessings",$B18,1),0)&gt;0,Enhancements!#REF!,IF(IFERROR(FIND("Wood",$B18,1),0)&gt;0,Enhancements!$G$11,IF(IFERROR(FIND("Leather",$B18,1),0)&gt;0,Enhancements!$G$15,IF(IFERROR(FIND("Bone",$B18,1),0)&gt;0,Enhancements!#REF!,IF(IFERROR(FIND("Cloth",$B18,1),0)&gt;0,Enhancements!$G$24,""))))))))</f>
        <v/>
      </c>
      <c r="F18" s="12" t="str">
        <f>IF($B18=0,"",IF(IFERROR(FIND("Metal",$B18,1),0)&gt;0,Enhancements!$G$20,IF(IFERROR(FIND("Rope",$B18,1),0)&gt;0,Enhancements!#REF!,IF(IFERROR(FIND("Blessings",$B18,1),0)&gt;0,Enhancements!#REF!,IF(IFERROR(FIND("Wood",$B18,1),0)&gt;0,Enhancements!$G$12,IF(IFERROR(FIND("Leather",$B18,1),0)&gt;0,Enhancements!$G$16,IF(IFERROR(FIND("Bone",$B18,1),0)&gt;0,Enhancements!#REF!,IF(IFERROR(FIND("Cloth",$B18,1),0)&gt;0,Enhancements!$G$25,""))))))))</f>
        <v/>
      </c>
      <c r="G18" s="12" t="str">
        <f>IF($B18=0,"",IF(IFERROR(FIND("Metal",$B18,1),0)&gt;0,Enhancements!$G$21,IF(IFERROR(FIND("Rope",$B18,1),0)&gt;0,Enhancements!#REF!,IF(IFERROR(FIND("Blessings",$B18,1),0)&gt;0,Enhancements!#REF!,IF(IFERROR(FIND("Wood",$B18,1),0)&gt;0,Enhancements!$G$13,IF(IFERROR(FIND("Leather",$B18,1),0)&gt;0,Enhancements!$G$17,IF(IFERROR(FIND("Bone",$B18,1),0)&gt;0,Enhancements!#REF!,IF(IFERROR(FIND("Cloth",$B18,1),0)&gt;0,Enhancements!$G$26,""))))))))</f>
        <v/>
      </c>
      <c r="H18" s="12" t="str">
        <f>IF($B18=0,"",IF(IFERROR(FIND("Metal",$B18,1),0)&gt;0,Enhancements!$G$22,IF(IFERROR(FIND("Blessings",$B18,1),0)&gt;0,Enhancements!#REF!,IF(IFERROR(FIND("Wood",$B18,1),0)&gt;0,Enhancements!$G$14,IF(IFERROR(FIND("Leather",$B18,1),0)&gt;0,Enhancements!$G$18,IF(IFERROR(FIND("Bone",$B18,1),0)&gt;0,Enhancements!#REF!,IF(IFERROR(FIND("Cloth",$B18,1),0)&gt;0,Enhancements!$G$27,"")))))))</f>
        <v/>
      </c>
      <c r="I18" s="12"/>
      <c r="K18" s="12" t="str">
        <f>IF(IFERROR(FIND("Metal+Wood",$B19,1),0)&gt;0,Enhancements!$G$7,"")</f>
        <v/>
      </c>
      <c r="L18" s="12" t="str">
        <f>IF(IFERROR(FIND("Metal+Wood",$B19,1),0)&gt;0,Enhancements!$G$8,"")</f>
        <v/>
      </c>
      <c r="M18" s="12" t="str">
        <f>IF(IFERROR(FIND("Metal+Wood",$B19,1),0)&gt;0,Enhancements!$G$9,"")</f>
        <v/>
      </c>
      <c r="N18" s="12" t="str">
        <f>IF(IFERROR(FIND("Metal+Wood",$B19,1),0)&gt;0,Enhancements!$G$10,"")</f>
        <v/>
      </c>
      <c r="O18" s="12"/>
      <c r="Q18" s="2" t="s">
        <v>166</v>
      </c>
      <c r="R18" s="5"/>
      <c r="S18" s="2" t="s">
        <v>169</v>
      </c>
      <c r="T18" s="5" t="s">
        <v>176</v>
      </c>
      <c r="U18" s="5" t="s">
        <v>176</v>
      </c>
      <c r="V18" s="5" t="s">
        <v>736</v>
      </c>
      <c r="W18" s="5" t="s">
        <v>587</v>
      </c>
      <c r="X18" s="2" t="s">
        <v>180</v>
      </c>
      <c r="Y18" s="5" t="s">
        <v>179</v>
      </c>
      <c r="Z18" s="5">
        <f>Cost_Compute!D114</f>
        <v>0</v>
      </c>
      <c r="AA18" s="5" t="str">
        <f>IFERROR(HLOOKUP($Z18,Magic_Lores!$A$1:$ES$3,MATCH(Magic_Lores!$A$3,Magic_Lores!$A$1:$A$3,0),FALSE),"")</f>
        <v/>
      </c>
      <c r="AB18" s="5"/>
      <c r="AC18" s="46" t="s">
        <v>321</v>
      </c>
      <c r="AD18" s="73">
        <v>17</v>
      </c>
      <c r="AE18" s="46" t="s">
        <v>383</v>
      </c>
      <c r="AG18" s="70" t="s">
        <v>89</v>
      </c>
    </row>
    <row r="19" spans="1:33" ht="31.5" x14ac:dyDescent="0.25">
      <c r="A19" t="str">
        <f>Character_Builder!G42</f>
        <v>Legs A:</v>
      </c>
      <c r="B19">
        <f>Character_Builder!H42</f>
        <v>0</v>
      </c>
      <c r="E19" s="12" t="str">
        <f>IF($B19=0,"",IF(IFERROR(FIND("Metal",$B19,1),0)&gt;0,Enhancements!$G$19,IF(IFERROR(FIND("Rope",$B19,1),0)&gt;0,Enhancements!#REF!,IF(IFERROR(FIND("Blessings",$B19,1),0)&gt;0,Enhancements!#REF!,IF(IFERROR(FIND("Wood",$B19,1),0)&gt;0,Enhancements!$G$11,IF(IFERROR(FIND("Leather",$B19,1),0)&gt;0,Enhancements!$G$15,IF(IFERROR(FIND("Bone",$B19,1),0)&gt;0,Enhancements!#REF!,IF(IFERROR(FIND("Cloth",$B19,1),0)&gt;0,Enhancements!$G$24,""))))))))</f>
        <v/>
      </c>
      <c r="F19" s="12" t="str">
        <f>IF($B19=0,"",IF(IFERROR(FIND("Metal",$B19,1),0)&gt;0,Enhancements!$G$20,IF(IFERROR(FIND("Rope",$B19,1),0)&gt;0,Enhancements!#REF!,IF(IFERROR(FIND("Blessings",$B19,1),0)&gt;0,Enhancements!#REF!,IF(IFERROR(FIND("Wood",$B19,1),0)&gt;0,Enhancements!$G$12,IF(IFERROR(FIND("Leather",$B19,1),0)&gt;0,Enhancements!$G$16,IF(IFERROR(FIND("Bone",$B19,1),0)&gt;0,Enhancements!#REF!,IF(IFERROR(FIND("Cloth",$B19,1),0)&gt;0,Enhancements!$G$25,""))))))))</f>
        <v/>
      </c>
      <c r="G19" s="12" t="str">
        <f>IF($B19=0,"",IF(IFERROR(FIND("Metal",$B19,1),0)&gt;0,Enhancements!$G$21,IF(IFERROR(FIND("Rope",$B19,1),0)&gt;0,Enhancements!#REF!,IF(IFERROR(FIND("Blessings",$B19,1),0)&gt;0,Enhancements!#REF!,IF(IFERROR(FIND("Wood",$B19,1),0)&gt;0,Enhancements!$G$13,IF(IFERROR(FIND("Leather",$B19,1),0)&gt;0,Enhancements!$G$17,IF(IFERROR(FIND("Bone",$B19,1),0)&gt;0,Enhancements!#REF!,IF(IFERROR(FIND("Cloth",$B19,1),0)&gt;0,Enhancements!$G$26,""))))))))</f>
        <v/>
      </c>
      <c r="H19" s="12" t="str">
        <f>IF($B19=0,"",IF(IFERROR(FIND("Metal",$B19,1),0)&gt;0,Enhancements!$G$22,IF(IFERROR(FIND("Blessings",$B19,1),0)&gt;0,Enhancements!#REF!,IF(IFERROR(FIND("Wood",$B19,1),0)&gt;0,Enhancements!$G$14,IF(IFERROR(FIND("Leather",$B19,1),0)&gt;0,Enhancements!$G$18,IF(IFERROR(FIND("Bone",$B19,1),0)&gt;0,Enhancements!#REF!,IF(IFERROR(FIND("Cloth",$B19,1),0)&gt;0,Enhancements!$G$27,"")))))))</f>
        <v/>
      </c>
      <c r="I19" s="12"/>
      <c r="K19" s="12" t="str">
        <f>IF(IFERROR(FIND("Metal+Wood",$B20,1),0)&gt;0,Enhancements!$G$7,"")</f>
        <v/>
      </c>
      <c r="L19" s="12" t="str">
        <f>IF(IFERROR(FIND("Metal+Wood",$B20,1),0)&gt;0,Enhancements!$G$8,"")</f>
        <v/>
      </c>
      <c r="M19" s="12" t="str">
        <f>IF(IFERROR(FIND("Metal+Wood",$B20,1),0)&gt;0,Enhancements!$G$9,"")</f>
        <v/>
      </c>
      <c r="N19" s="12" t="str">
        <f>IF(IFERROR(FIND("Metal+Wood",$B20,1),0)&gt;0,Enhancements!$G$10,"")</f>
        <v/>
      </c>
      <c r="O19" s="12"/>
      <c r="Q19" s="2" t="s">
        <v>164</v>
      </c>
      <c r="R19" s="5"/>
      <c r="S19" s="2" t="s">
        <v>163</v>
      </c>
      <c r="T19" s="51"/>
      <c r="U19" s="51"/>
      <c r="V19" s="5" t="s">
        <v>208</v>
      </c>
      <c r="W19" s="5" t="s">
        <v>589</v>
      </c>
      <c r="X19" s="2" t="s">
        <v>181</v>
      </c>
      <c r="Y19" s="5" t="s">
        <v>180</v>
      </c>
      <c r="Z19" s="5">
        <f>Cost_Compute!D115</f>
        <v>0</v>
      </c>
      <c r="AA19" s="5" t="str">
        <f>IFERROR(HLOOKUP($Z19,Magic_Lores!$A$1:$ES$3,MATCH(Magic_Lores!$A$3,Magic_Lores!$A$1:$A$3,0),FALSE),"")</f>
        <v/>
      </c>
      <c r="AB19" s="5"/>
      <c r="AC19" s="46" t="s">
        <v>320</v>
      </c>
      <c r="AD19" s="73">
        <v>18</v>
      </c>
      <c r="AE19" s="46" t="s">
        <v>384</v>
      </c>
      <c r="AG19" s="70" t="s">
        <v>100</v>
      </c>
    </row>
    <row r="20" spans="1:33" ht="47.25" x14ac:dyDescent="0.25">
      <c r="A20" t="str">
        <f>Character_Builder!G43</f>
        <v>Legs B:</v>
      </c>
      <c r="B20">
        <f>Character_Builder!H43</f>
        <v>0</v>
      </c>
      <c r="E20" s="12" t="str">
        <f>IF($B20=0,"",IF(IFERROR(FIND("Metal",$B20,1),0)&gt;0,Enhancements!$G$19,IF(IFERROR(FIND("Rope",$B20,1),0)&gt;0,Enhancements!#REF!,IF(IFERROR(FIND("Blessings",$B20,1),0)&gt;0,Enhancements!#REF!,IF(IFERROR(FIND("Wood",$B20,1),0)&gt;0,Enhancements!$G$11,IF(IFERROR(FIND("Leather",$B20,1),0)&gt;0,Enhancements!$G$15,IF(IFERROR(FIND("Bone",$B20,1),0)&gt;0,Enhancements!#REF!,IF(IFERROR(FIND("Cloth",$B20,1),0)&gt;0,Enhancements!$G$24,""))))))))</f>
        <v/>
      </c>
      <c r="F20" s="12" t="str">
        <f>IF($B20=0,"",IF(IFERROR(FIND("Metal",$B20,1),0)&gt;0,Enhancements!$G$20,IF(IFERROR(FIND("Rope",$B20,1),0)&gt;0,Enhancements!#REF!,IF(IFERROR(FIND("Blessings",$B20,1),0)&gt;0,Enhancements!#REF!,IF(IFERROR(FIND("Wood",$B20,1),0)&gt;0,Enhancements!$G$12,IF(IFERROR(FIND("Leather",$B20,1),0)&gt;0,Enhancements!$G$16,IF(IFERROR(FIND("Bone",$B20,1),0)&gt;0,Enhancements!#REF!,IF(IFERROR(FIND("Cloth",$B20,1),0)&gt;0,Enhancements!$G$25,""))))))))</f>
        <v/>
      </c>
      <c r="G20" s="12" t="str">
        <f>IF($B20=0,"",IF(IFERROR(FIND("Metal",$B20,1),0)&gt;0,Enhancements!$G$21,IF(IFERROR(FIND("Rope",$B20,1),0)&gt;0,Enhancements!#REF!,IF(IFERROR(FIND("Blessings",$B20,1),0)&gt;0,Enhancements!#REF!,IF(IFERROR(FIND("Wood",$B20,1),0)&gt;0,Enhancements!$G$13,IF(IFERROR(FIND("Leather",$B20,1),0)&gt;0,Enhancements!$G$17,IF(IFERROR(FIND("Bone",$B20,1),0)&gt;0,Enhancements!#REF!,IF(IFERROR(FIND("Cloth",$B20,1),0)&gt;0,Enhancements!$G$26,""))))))))</f>
        <v/>
      </c>
      <c r="H20" s="12" t="str">
        <f>IF($B20=0,"",IF(IFERROR(FIND("Metal",$B20,1),0)&gt;0,Enhancements!$G$22,IF(IFERROR(FIND("Blessings",$B20,1),0)&gt;0,Enhancements!#REF!,IF(IFERROR(FIND("Wood",$B20,1),0)&gt;0,Enhancements!$G$14,IF(IFERROR(FIND("Leather",$B20,1),0)&gt;0,Enhancements!$G$18,IF(IFERROR(FIND("Bone",$B20,1),0)&gt;0,Enhancements!#REF!,IF(IFERROR(FIND("Cloth",$B20,1),0)&gt;0,Enhancements!$G$27,"")))))))</f>
        <v/>
      </c>
      <c r="I20" s="12"/>
      <c r="K20" s="12" t="str">
        <f>IF(IFERROR(FIND("Metal+Wood",$B21,1),0)&gt;0,Enhancements!$G$7,"")</f>
        <v/>
      </c>
      <c r="L20" s="12" t="str">
        <f>IF(IFERROR(FIND("Metal+Wood",$B21,1),0)&gt;0,Enhancements!$G$8,"")</f>
        <v/>
      </c>
      <c r="M20" s="12" t="str">
        <f>IF(IFERROR(FIND("Metal+Wood",$B21,1),0)&gt;0,Enhancements!$G$9,"")</f>
        <v/>
      </c>
      <c r="N20" s="12" t="str">
        <f>IF(IFERROR(FIND("Metal+Wood",$B21,1),0)&gt;0,Enhancements!$G$10,"")</f>
        <v/>
      </c>
      <c r="O20" s="12"/>
      <c r="Q20" s="2" t="s">
        <v>168</v>
      </c>
      <c r="R20" s="5"/>
      <c r="S20" s="2" t="s">
        <v>167</v>
      </c>
      <c r="T20" s="5" t="s">
        <v>738</v>
      </c>
      <c r="U20" s="5" t="s">
        <v>738</v>
      </c>
      <c r="V20" s="5" t="s">
        <v>209</v>
      </c>
      <c r="W20" s="5" t="s">
        <v>588</v>
      </c>
      <c r="X20" s="2" t="s">
        <v>176</v>
      </c>
      <c r="Y20" s="5" t="s">
        <v>181</v>
      </c>
      <c r="Z20" s="5">
        <f>Cost_Compute!D116</f>
        <v>0</v>
      </c>
      <c r="AA20" s="5" t="str">
        <f>IFERROR(HLOOKUP($Z20,Magic_Lores!$A$1:$ES$3,MATCH(Magic_Lores!$A$3,Magic_Lores!$A$1:$A$3,0),FALSE),"")</f>
        <v/>
      </c>
      <c r="AB20" s="5"/>
      <c r="AC20" s="46" t="s">
        <v>322</v>
      </c>
      <c r="AD20" s="73">
        <v>19</v>
      </c>
      <c r="AE20" s="46" t="s">
        <v>710</v>
      </c>
      <c r="AG20" s="70" t="s">
        <v>564</v>
      </c>
    </row>
    <row r="21" spans="1:33" ht="47.25" x14ac:dyDescent="0.25">
      <c r="A21" t="str">
        <f>Character_Builder!G44</f>
        <v>Back:</v>
      </c>
      <c r="B21">
        <f>Character_Builder!H44</f>
        <v>0</v>
      </c>
      <c r="E21" s="12" t="str">
        <f>IF($B21=0,"",IF(IFERROR(FIND("Metal",$B21,1),0)&gt;0,Enhancements!$G$19,IF(IFERROR(FIND("Rope",$B21,1),0)&gt;0,Enhancements!#REF!,IF(IFERROR(FIND("Blessings",$B21,1),0)&gt;0,Enhancements!#REF!,IF(IFERROR(FIND("Wood",$B21,1),0)&gt;0,Enhancements!$G$11,IF(IFERROR(FIND("Leather",$B21,1),0)&gt;0,Enhancements!$G$15,IF(IFERROR(FIND("Bone",$B21,1),0)&gt;0,Enhancements!#REF!,IF(IFERROR(FIND("Cloth",$B21,1),0)&gt;0,Enhancements!$G$24,""))))))))</f>
        <v/>
      </c>
      <c r="F21" s="12" t="str">
        <f>IF($B21=0,"",IF(IFERROR(FIND("Metal",$B21,1),0)&gt;0,Enhancements!$G$20,IF(IFERROR(FIND("Rope",$B21,1),0)&gt;0,Enhancements!#REF!,IF(IFERROR(FIND("Blessings",$B21,1),0)&gt;0,Enhancements!#REF!,IF(IFERROR(FIND("Wood",$B21,1),0)&gt;0,Enhancements!$G$12,IF(IFERROR(FIND("Leather",$B21,1),0)&gt;0,Enhancements!$G$16,IF(IFERROR(FIND("Bone",$B21,1),0)&gt;0,Enhancements!#REF!,IF(IFERROR(FIND("Cloth",$B21,1),0)&gt;0,Enhancements!$G$25,""))))))))</f>
        <v/>
      </c>
      <c r="G21" s="12" t="str">
        <f>IF($B21=0,"",IF(IFERROR(FIND("Metal",$B21,1),0)&gt;0,Enhancements!$G$21,IF(IFERROR(FIND("Rope",$B21,1),0)&gt;0,Enhancements!#REF!,IF(IFERROR(FIND("Blessings",$B21,1),0)&gt;0,Enhancements!#REF!,IF(IFERROR(FIND("Wood",$B21,1),0)&gt;0,Enhancements!$G$13,IF(IFERROR(FIND("Leather",$B21,1),0)&gt;0,Enhancements!$G$17,IF(IFERROR(FIND("Bone",$B21,1),0)&gt;0,Enhancements!#REF!,IF(IFERROR(FIND("Cloth",$B21,1),0)&gt;0,Enhancements!$G$26,""))))))))</f>
        <v/>
      </c>
      <c r="H21" s="12" t="str">
        <f>IF($B21=0,"",IF(IFERROR(FIND("Metal",$B21,1),0)&gt;0,Enhancements!$G$22,IF(IFERROR(FIND("Blessings",$B21,1),0)&gt;0,Enhancements!#REF!,IF(IFERROR(FIND("Wood",$B21,1),0)&gt;0,Enhancements!$G$14,IF(IFERROR(FIND("Leather",$B21,1),0)&gt;0,Enhancements!$G$18,IF(IFERROR(FIND("Bone",$B21,1),0)&gt;0,Enhancements!#REF!,IF(IFERROR(FIND("Cloth",$B21,1),0)&gt;0,Enhancements!$G$27,"")))))))</f>
        <v/>
      </c>
      <c r="I21" s="12"/>
      <c r="K21" s="12" t="str">
        <f>IF(IFERROR(FIND("Metal+Wood",$B22,1),0)&gt;0,Enhancements!$G$7,"")</f>
        <v/>
      </c>
      <c r="L21" s="12" t="str">
        <f>IF(IFERROR(FIND("Metal+Wood",$B22,1),0)&gt;0,Enhancements!$G$8,"")</f>
        <v/>
      </c>
      <c r="M21" s="12" t="str">
        <f>IF(IFERROR(FIND("Metal+Wood",$B22,1),0)&gt;0,Enhancements!$G$9,"")</f>
        <v/>
      </c>
      <c r="N21" s="12" t="str">
        <f>IF(IFERROR(FIND("Metal+Wood",$B22,1),0)&gt;0,Enhancements!$G$10,"")</f>
        <v/>
      </c>
      <c r="O21" s="12"/>
      <c r="Q21" s="2" t="s">
        <v>170</v>
      </c>
      <c r="R21" s="5"/>
      <c r="S21" s="2"/>
      <c r="T21" s="5" t="s">
        <v>187</v>
      </c>
      <c r="U21" s="5" t="s">
        <v>187</v>
      </c>
      <c r="V21" s="5" t="s">
        <v>207</v>
      </c>
      <c r="W21" s="5" t="s">
        <v>590</v>
      </c>
      <c r="X21" s="2"/>
      <c r="Y21" s="51"/>
      <c r="Z21" s="5">
        <f>Cost_Compute!D117</f>
        <v>0</v>
      </c>
      <c r="AA21" s="5" t="str">
        <f>IFERROR(HLOOKUP($Z21,Magic_Lores!$A$1:$ES$3,MATCH(Magic_Lores!$A$3,Magic_Lores!$A$1:$A$3,0),FALSE),"")</f>
        <v/>
      </c>
      <c r="AB21" s="5"/>
      <c r="AC21" s="46" t="s">
        <v>42</v>
      </c>
      <c r="AD21" s="73">
        <v>20</v>
      </c>
      <c r="AE21" s="46" t="s">
        <v>711</v>
      </c>
      <c r="AG21" s="70" t="s">
        <v>86</v>
      </c>
    </row>
    <row r="22" spans="1:33" ht="47.25" x14ac:dyDescent="0.25">
      <c r="A22" t="str">
        <f>Character_Builder!G45</f>
        <v>Feet:</v>
      </c>
      <c r="B22">
        <f>Character_Builder!H45</f>
        <v>0</v>
      </c>
      <c r="E22" s="12" t="str">
        <f>IF($B22=0,"",IF(IFERROR(FIND("Metal",$B22,1),0)&gt;0,Enhancements!$G$19,IF(IFERROR(FIND("Rope",$B22,1),0)&gt;0,Enhancements!#REF!,IF(IFERROR(FIND("Blessings",$B22,1),0)&gt;0,Enhancements!#REF!,IF(IFERROR(FIND("Wood",$B22,1),0)&gt;0,Enhancements!$G$11,IF(IFERROR(FIND("Leather",$B22,1),0)&gt;0,Enhancements!$G$15,IF(IFERROR(FIND("Bone",$B22,1),0)&gt;0,Enhancements!#REF!,IF(IFERROR(FIND("Cloth",$B22,1),0)&gt;0,Enhancements!$G$24,""))))))))</f>
        <v/>
      </c>
      <c r="F22" s="12" t="str">
        <f>IF($B22=0,"",IF(IFERROR(FIND("Metal",$B22,1),0)&gt;0,Enhancements!$G$20,IF(IFERROR(FIND("Rope",$B22,1),0)&gt;0,Enhancements!#REF!,IF(IFERROR(FIND("Blessings",$B22,1),0)&gt;0,Enhancements!#REF!,IF(IFERROR(FIND("Wood",$B22,1),0)&gt;0,Enhancements!$G$12,IF(IFERROR(FIND("Leather",$B22,1),0)&gt;0,Enhancements!$G$16,IF(IFERROR(FIND("Bone",$B22,1),0)&gt;0,Enhancements!#REF!,IF(IFERROR(FIND("Cloth",$B22,1),0)&gt;0,Enhancements!$G$25,""))))))))</f>
        <v/>
      </c>
      <c r="G22" s="12" t="str">
        <f>IF($B22=0,"",IF(IFERROR(FIND("Metal",$B22,1),0)&gt;0,Enhancements!$G$21,IF(IFERROR(FIND("Rope",$B22,1),0)&gt;0,Enhancements!#REF!,IF(IFERROR(FIND("Blessings",$B22,1),0)&gt;0,Enhancements!#REF!,IF(IFERROR(FIND("Wood",$B22,1),0)&gt;0,Enhancements!$G$13,IF(IFERROR(FIND("Leather",$B22,1),0)&gt;0,Enhancements!$G$17,IF(IFERROR(FIND("Bone",$B22,1),0)&gt;0,Enhancements!#REF!,IF(IFERROR(FIND("Cloth",$B22,1),0)&gt;0,Enhancements!$G$26,""))))))))</f>
        <v/>
      </c>
      <c r="H22" s="12" t="str">
        <f>IF($B22=0,"",IF(IFERROR(FIND("Metal",$B22,1),0)&gt;0,Enhancements!$G$22,IF(IFERROR(FIND("Blessings",$B22,1),0)&gt;0,Enhancements!#REF!,IF(IFERROR(FIND("Wood",$B22,1),0)&gt;0,Enhancements!$G$14,IF(IFERROR(FIND("Leather",$B22,1),0)&gt;0,Enhancements!$G$18,IF(IFERROR(FIND("Bone",$B22,1),0)&gt;0,Enhancements!#REF!,IF(IFERROR(FIND("Cloth",$B22,1),0)&gt;0,Enhancements!$G$27,"")))))))</f>
        <v/>
      </c>
      <c r="I22" s="12"/>
      <c r="K22" s="12" t="str">
        <f>IF(IFERROR(FIND("Metal+Wood",#REF!,1),0)&gt;0,Enhancements!$G$7,"")</f>
        <v/>
      </c>
      <c r="L22" s="12" t="str">
        <f>IF(IFERROR(FIND("Metal+Wood",#REF!,1),0)&gt;0,Enhancements!$G$8,"")</f>
        <v/>
      </c>
      <c r="M22" s="12" t="str">
        <f>IF(IFERROR(FIND("Metal+Wood",#REF!,1),0)&gt;0,Enhancements!$G$9,"")</f>
        <v/>
      </c>
      <c r="N22" s="12" t="str">
        <f>IF(IFERROR(FIND("Metal+Wood",#REF!,1),0)&gt;0,Enhancements!$G$10,"")</f>
        <v/>
      </c>
      <c r="O22" s="12"/>
      <c r="Q22" s="2" t="s">
        <v>165</v>
      </c>
      <c r="R22" s="5"/>
      <c r="S22" s="80" t="s">
        <v>739</v>
      </c>
      <c r="T22" s="5" t="s">
        <v>189</v>
      </c>
      <c r="U22" s="5" t="s">
        <v>189</v>
      </c>
      <c r="V22" s="5" t="s">
        <v>206</v>
      </c>
      <c r="W22" s="5"/>
      <c r="X22" s="80" t="s">
        <v>738</v>
      </c>
      <c r="Y22" s="5" t="s">
        <v>738</v>
      </c>
      <c r="Z22" s="5">
        <f>Cost_Compute!D118</f>
        <v>0</v>
      </c>
      <c r="AA22" s="5" t="str">
        <f>IFERROR(HLOOKUP($Z22,Magic_Lores!$A$1:$ES$3,MATCH(Magic_Lores!$A$3,Magic_Lores!$A$1:$A$3,0),FALSE),"")</f>
        <v/>
      </c>
      <c r="AB22" s="5"/>
      <c r="AC22" s="46" t="s">
        <v>39</v>
      </c>
      <c r="AD22" s="73">
        <v>21</v>
      </c>
      <c r="AE22" s="46" t="s">
        <v>841</v>
      </c>
      <c r="AG22" s="70" t="s">
        <v>85</v>
      </c>
    </row>
    <row r="23" spans="1:33" ht="63" x14ac:dyDescent="0.25">
      <c r="B23">
        <f>Character_Builder!K14</f>
        <v>0</v>
      </c>
      <c r="E23" s="12" t="str">
        <f>IF($B23=0,"",IF(IFERROR(FIND("Metal",$B23,1),0)&gt;0,Enhancements!$G$19,IF(IFERROR(FIND("Rope",$B23,1),0)&gt;0,Enhancements!#REF!,IF(IFERROR(FIND("Blessings",$B23,1),0)&gt;0,Enhancements!#REF!,IF(IFERROR(FIND("Wood",$B23,1),0)&gt;0,Enhancements!$G$11,IF(IFERROR(FIND("Leather",$B23,1),0)&gt;0,Enhancements!$G$15,IF(IFERROR(FIND("Bone",$B23,1),0)&gt;0,Enhancements!#REF!,IF(IFERROR(FIND("Cloth",$B23,1),0)&gt;0,Enhancements!$G$24,""))))))))</f>
        <v/>
      </c>
      <c r="F23" s="12" t="str">
        <f>IF($B23=0,"",IF(IFERROR(FIND("Metal",$B23,1),0)&gt;0,Enhancements!$G$20,IF(IFERROR(FIND("Rope",$B23,1),0)&gt;0,Enhancements!#REF!,IF(IFERROR(FIND("Blessings",$B23,1),0)&gt;0,Enhancements!#REF!,IF(IFERROR(FIND("Wood",$B23,1),0)&gt;0,Enhancements!$G$12,IF(IFERROR(FIND("Leather",$B23,1),0)&gt;0,Enhancements!$G$16,IF(IFERROR(FIND("Bone",$B23,1),0)&gt;0,Enhancements!#REF!,IF(IFERROR(FIND("Cloth",$B23,1),0)&gt;0,Enhancements!$G$25,""))))))))</f>
        <v/>
      </c>
      <c r="G23" s="12" t="str">
        <f>IF($B23=0,"",IF(IFERROR(FIND("Metal",$B23,1),0)&gt;0,Enhancements!$G$21,IF(IFERROR(FIND("Rope",$B23,1),0)&gt;0,Enhancements!#REF!,IF(IFERROR(FIND("Blessings",$B23,1),0)&gt;0,Enhancements!#REF!,IF(IFERROR(FIND("Wood",$B23,1),0)&gt;0,Enhancements!$G$13,IF(IFERROR(FIND("Leather",$B23,1),0)&gt;0,Enhancements!$G$17,IF(IFERROR(FIND("Bone",$B23,1),0)&gt;0,Enhancements!#REF!,IF(IFERROR(FIND("Cloth",$B23,1),0)&gt;0,Enhancements!$G$26,""))))))))</f>
        <v/>
      </c>
      <c r="H23" s="12" t="str">
        <f>IF($B23=0,"",IF(IFERROR(FIND("Metal",$B23,1),0)&gt;0,Enhancements!$G$22,IF(IFERROR(FIND("Blessings",$B23,1),0)&gt;0,Enhancements!#REF!,IF(IFERROR(FIND("Wood",$B23,1),0)&gt;0,Enhancements!$G$14,IF(IFERROR(FIND("Leather",$B23,1),0)&gt;0,Enhancements!$G$18,IF(IFERROR(FIND("Bone",$B23,1),0)&gt;0,Enhancements!#REF!,IF(IFERROR(FIND("Cloth",$B23,1),0)&gt;0,Enhancements!$G$27,"")))))))</f>
        <v/>
      </c>
      <c r="I23" s="12"/>
      <c r="K23" s="12" t="str">
        <f>IF(IFERROR(FIND("Metal+Wood",#REF!,1),0)&gt;0,Enhancements!$G$7,"")</f>
        <v/>
      </c>
      <c r="L23" s="12" t="str">
        <f>IF(IFERROR(FIND("Metal+Wood",#REF!,1),0)&gt;0,Enhancements!$G$8,"")</f>
        <v/>
      </c>
      <c r="M23" s="12" t="str">
        <f>IF(IFERROR(FIND("Metal+Wood",#REF!,1),0)&gt;0,Enhancements!$G$9,"")</f>
        <v/>
      </c>
      <c r="N23" s="12" t="str">
        <f>IF(IFERROR(FIND("Metal+Wood",#REF!,1),0)&gt;0,Enhancements!$G$10,"")</f>
        <v/>
      </c>
      <c r="O23" s="12"/>
      <c r="Q23" s="2" t="s">
        <v>169</v>
      </c>
      <c r="R23" s="5"/>
      <c r="S23" s="2" t="s">
        <v>178</v>
      </c>
      <c r="T23" s="5" t="s">
        <v>188</v>
      </c>
      <c r="U23" s="5" t="s">
        <v>188</v>
      </c>
      <c r="V23" s="51"/>
      <c r="W23" s="5" t="s">
        <v>726</v>
      </c>
      <c r="X23" s="2" t="s">
        <v>191</v>
      </c>
      <c r="Y23" s="5" t="s">
        <v>191</v>
      </c>
      <c r="Z23" s="5">
        <f>Cost_Compute!D119</f>
        <v>0</v>
      </c>
      <c r="AA23" s="5" t="str">
        <f>IFERROR(HLOOKUP($Z23,Magic_Lores!$A$1:$ES$3,MATCH(Magic_Lores!$A$3,Magic_Lores!$A$1:$A$3,0),FALSE),"")</f>
        <v/>
      </c>
      <c r="AB23" s="5"/>
      <c r="AC23" s="46" t="s">
        <v>40</v>
      </c>
      <c r="AD23" s="73">
        <v>22</v>
      </c>
      <c r="AE23" s="46" t="s">
        <v>842</v>
      </c>
      <c r="AG23" s="70" t="s">
        <v>88</v>
      </c>
    </row>
    <row r="24" spans="1:33" ht="47.25" x14ac:dyDescent="0.25">
      <c r="B24">
        <f>Character_Builder!K15</f>
        <v>0</v>
      </c>
      <c r="E24" s="12" t="str">
        <f>IF($B24=0,"",IF(IFERROR(FIND("Metal",$B24,1),0)&gt;0,Enhancements!$G$19,IF(IFERROR(FIND("Rope",$B24,1),0)&gt;0,Enhancements!#REF!,IF(IFERROR(FIND("Blessings",$B24,1),0)&gt;0,Enhancements!#REF!,IF(IFERROR(FIND("Wood",$B24,1),0)&gt;0,Enhancements!$G$11,IF(IFERROR(FIND("Leather",$B24,1),0)&gt;0,Enhancements!$G$15,IF(IFERROR(FIND("Bone",$B24,1),0)&gt;0,Enhancements!#REF!,IF(IFERROR(FIND("Cloth",$B24,1),0)&gt;0,Enhancements!$G$24,""))))))))</f>
        <v/>
      </c>
      <c r="F24" s="12" t="str">
        <f>IF($B24=0,"",IF(IFERROR(FIND("Metal",$B24,1),0)&gt;0,Enhancements!$G$20,IF(IFERROR(FIND("Rope",$B24,1),0)&gt;0,Enhancements!#REF!,IF(IFERROR(FIND("Blessings",$B24,1),0)&gt;0,Enhancements!#REF!,IF(IFERROR(FIND("Wood",$B24,1),0)&gt;0,Enhancements!$G$12,IF(IFERROR(FIND("Leather",$B24,1),0)&gt;0,Enhancements!$G$16,IF(IFERROR(FIND("Bone",$B24,1),0)&gt;0,Enhancements!#REF!,IF(IFERROR(FIND("Cloth",$B24,1),0)&gt;0,Enhancements!$G$25,""))))))))</f>
        <v/>
      </c>
      <c r="G24" s="12" t="str">
        <f>IF($B24=0,"",IF(IFERROR(FIND("Metal",$B24,1),0)&gt;0,Enhancements!$G$21,IF(IFERROR(FIND("Rope",$B24,1),0)&gt;0,Enhancements!#REF!,IF(IFERROR(FIND("Blessings",$B24,1),0)&gt;0,Enhancements!#REF!,IF(IFERROR(FIND("Wood",$B24,1),0)&gt;0,Enhancements!$G$13,IF(IFERROR(FIND("Leather",$B24,1),0)&gt;0,Enhancements!$G$17,IF(IFERROR(FIND("Bone",$B24,1),0)&gt;0,Enhancements!#REF!,IF(IFERROR(FIND("Cloth",$B24,1),0)&gt;0,Enhancements!$G$26,""))))))))</f>
        <v/>
      </c>
      <c r="H24" s="12" t="str">
        <f>IF($B24=0,"",IF(IFERROR(FIND("Metal",$B24,1),0)&gt;0,Enhancements!$G$22,IF(IFERROR(FIND("Blessings",$B24,1),0)&gt;0,Enhancements!#REF!,IF(IFERROR(FIND("Wood",$B24,1),0)&gt;0,Enhancements!$G$14,IF(IFERROR(FIND("Leather",$B24,1),0)&gt;0,Enhancements!$G$18,IF(IFERROR(FIND("Bone",$B24,1),0)&gt;0,Enhancements!#REF!,IF(IFERROR(FIND("Cloth",$B24,1),0)&gt;0,Enhancements!$G$27,"")))))))</f>
        <v/>
      </c>
      <c r="I24" s="12"/>
      <c r="K24" s="12" t="str">
        <f>IF(IFERROR(FIND("Metal+Wood",#REF!,1),0)&gt;0,Enhancements!$G$7,"")</f>
        <v/>
      </c>
      <c r="L24" s="12" t="str">
        <f>IF(IFERROR(FIND("Metal+Wood",#REF!,1),0)&gt;0,Enhancements!$G$8,"")</f>
        <v/>
      </c>
      <c r="M24" s="12" t="str">
        <f>IF(IFERROR(FIND("Metal+Wood",#REF!,1),0)&gt;0,Enhancements!$G$9,"")</f>
        <v/>
      </c>
      <c r="N24" s="12" t="str">
        <f>IF(IFERROR(FIND("Metal+Wood",#REF!,1),0)&gt;0,Enhancements!$G$10,"")</f>
        <v/>
      </c>
      <c r="O24" s="12"/>
      <c r="Q24" s="2" t="s">
        <v>173</v>
      </c>
      <c r="R24" s="5"/>
      <c r="S24" s="2" t="s">
        <v>175</v>
      </c>
      <c r="T24" s="5" t="s">
        <v>186</v>
      </c>
      <c r="U24" s="5" t="s">
        <v>186</v>
      </c>
      <c r="V24" s="5" t="s">
        <v>735</v>
      </c>
      <c r="W24" s="5" t="s">
        <v>568</v>
      </c>
      <c r="X24" s="2" t="s">
        <v>192</v>
      </c>
      <c r="Y24" s="5" t="s">
        <v>192</v>
      </c>
      <c r="Z24" s="5">
        <f>Cost_Compute!D120</f>
        <v>0</v>
      </c>
      <c r="AA24" s="5" t="str">
        <f>IFERROR(HLOOKUP($Z24,Magic_Lores!$A$1:$ES$3,MATCH(Magic_Lores!$A$3,Magic_Lores!$A$1:$A$3,0),FALSE),"")</f>
        <v/>
      </c>
      <c r="AB24" s="5"/>
      <c r="AC24" s="46" t="s">
        <v>37</v>
      </c>
      <c r="AD24" s="73">
        <v>23</v>
      </c>
      <c r="AE24" s="46" t="s">
        <v>385</v>
      </c>
      <c r="AG24" s="70" t="s">
        <v>98</v>
      </c>
    </row>
    <row r="25" spans="1:33" ht="47.25" x14ac:dyDescent="0.25">
      <c r="B25">
        <f>Character_Builder!K16</f>
        <v>0</v>
      </c>
      <c r="E25" s="12" t="str">
        <f>IF($B25=0,"",IF(IFERROR(FIND("Metal",$B25,1),0)&gt;0,Enhancements!$G$19,IF(IFERROR(FIND("Rope",$B25,1),0)&gt;0,Enhancements!#REF!,IF(IFERROR(FIND("Blessings",$B25,1),0)&gt;0,Enhancements!#REF!,IF(IFERROR(FIND("Wood",$B25,1),0)&gt;0,Enhancements!$G$11,IF(IFERROR(FIND("Leather",$B25,1),0)&gt;0,Enhancements!$G$15,IF(IFERROR(FIND("Bone",$B25,1),0)&gt;0,Enhancements!#REF!,IF(IFERROR(FIND("Cloth",$B25,1),0)&gt;0,Enhancements!$G$24,""))))))))</f>
        <v/>
      </c>
      <c r="F25" s="12" t="str">
        <f>IF($B25=0,"",IF(IFERROR(FIND("Metal",$B25,1),0)&gt;0,Enhancements!$G$20,IF(IFERROR(FIND("Rope",$B25,1),0)&gt;0,Enhancements!#REF!,IF(IFERROR(FIND("Blessings",$B25,1),0)&gt;0,Enhancements!#REF!,IF(IFERROR(FIND("Wood",$B25,1),0)&gt;0,Enhancements!$G$12,IF(IFERROR(FIND("Leather",$B25,1),0)&gt;0,Enhancements!$G$16,IF(IFERROR(FIND("Bone",$B25,1),0)&gt;0,Enhancements!#REF!,IF(IFERROR(FIND("Cloth",$B25,1),0)&gt;0,Enhancements!$G$25,""))))))))</f>
        <v/>
      </c>
      <c r="G25" s="12" t="str">
        <f>IF($B25=0,"",IF(IFERROR(FIND("Metal",$B25,1),0)&gt;0,Enhancements!$G$21,IF(IFERROR(FIND("Rope",$B25,1),0)&gt;0,Enhancements!#REF!,IF(IFERROR(FIND("Blessings",$B25,1),0)&gt;0,Enhancements!#REF!,IF(IFERROR(FIND("Wood",$B25,1),0)&gt;0,Enhancements!$G$13,IF(IFERROR(FIND("Leather",$B25,1),0)&gt;0,Enhancements!$G$17,IF(IFERROR(FIND("Bone",$B25,1),0)&gt;0,Enhancements!#REF!,IF(IFERROR(FIND("Cloth",$B25,1),0)&gt;0,Enhancements!$G$26,""))))))))</f>
        <v/>
      </c>
      <c r="H25" s="12" t="str">
        <f>IF($B25=0,"",IF(IFERROR(FIND("Metal",$B25,1),0)&gt;0,Enhancements!$G$22,IF(IFERROR(FIND("Blessings",$B25,1),0)&gt;0,Enhancements!#REF!,IF(IFERROR(FIND("Wood",$B25,1),0)&gt;0,Enhancements!$G$14,IF(IFERROR(FIND("Leather",$B25,1),0)&gt;0,Enhancements!$G$18,IF(IFERROR(FIND("Bone",$B25,1),0)&gt;0,Enhancements!#REF!,IF(IFERROR(FIND("Cloth",$B25,1),0)&gt;0,Enhancements!$G$27,"")))))))</f>
        <v/>
      </c>
      <c r="I25" s="12"/>
      <c r="K25" s="12" t="str">
        <f>IF(IFERROR(FIND("Metal+Wood",#REF!,1),0)&gt;0,Enhancements!$G$7,"")</f>
        <v/>
      </c>
      <c r="L25" s="12" t="str">
        <f>IF(IFERROR(FIND("Metal+Wood",#REF!,1),0)&gt;0,Enhancements!$G$8,"")</f>
        <v/>
      </c>
      <c r="M25" s="12" t="str">
        <f>IF(IFERROR(FIND("Metal+Wood",#REF!,1),0)&gt;0,Enhancements!$G$9,"")</f>
        <v/>
      </c>
      <c r="N25" s="12" t="str">
        <f>IF(IFERROR(FIND("Metal+Wood",#REF!,1),0)&gt;0,Enhancements!$G$10,"")</f>
        <v/>
      </c>
      <c r="O25" s="12"/>
      <c r="Q25" s="2" t="s">
        <v>172</v>
      </c>
      <c r="R25" s="5"/>
      <c r="S25" s="2" t="s">
        <v>179</v>
      </c>
      <c r="T25" s="51"/>
      <c r="U25" s="51"/>
      <c r="V25" s="5" t="s">
        <v>219</v>
      </c>
      <c r="W25" s="5" t="s">
        <v>569</v>
      </c>
      <c r="X25" s="2" t="s">
        <v>187</v>
      </c>
      <c r="Y25" s="5" t="s">
        <v>195</v>
      </c>
      <c r="Z25" s="5">
        <f>Cost_Compute!D121</f>
        <v>0</v>
      </c>
      <c r="AA25" s="5" t="str">
        <f>IFERROR(HLOOKUP($Z25,Magic_Lores!$A$1:$ES$3,MATCH(Magic_Lores!$A$3,Magic_Lores!$A$1:$A$3,0),FALSE),"")</f>
        <v/>
      </c>
      <c r="AB25" s="5"/>
      <c r="AC25" s="46" t="s">
        <v>406</v>
      </c>
      <c r="AD25" s="73">
        <v>24</v>
      </c>
      <c r="AE25" s="46" t="s">
        <v>429</v>
      </c>
      <c r="AG25" s="70" t="s">
        <v>90</v>
      </c>
    </row>
    <row r="26" spans="1:33" ht="47.25" x14ac:dyDescent="0.25">
      <c r="B26">
        <f>Character_Builder!K17</f>
        <v>0</v>
      </c>
      <c r="E26" s="12" t="str">
        <f>IF($B26=0,"",IF(IFERROR(FIND("Metal",$B26,1),0)&gt;0,Enhancements!$G$19,IF(IFERROR(FIND("Rope",$B26,1),0)&gt;0,Enhancements!#REF!,IF(IFERROR(FIND("Blessings",$B26,1),0)&gt;0,Enhancements!#REF!,IF(IFERROR(FIND("Wood",$B26,1),0)&gt;0,Enhancements!$G$11,IF(IFERROR(FIND("Leather",$B26,1),0)&gt;0,Enhancements!$G$15,IF(IFERROR(FIND("Bone",$B26,1),0)&gt;0,Enhancements!#REF!,IF(IFERROR(FIND("Cloth",$B26,1),0)&gt;0,Enhancements!$G$24,""))))))))</f>
        <v/>
      </c>
      <c r="F26" s="12" t="str">
        <f>IF($B26=0,"",IF(IFERROR(FIND("Metal",$B26,1),0)&gt;0,Enhancements!$G$20,IF(IFERROR(FIND("Rope",$B26,1),0)&gt;0,Enhancements!#REF!,IF(IFERROR(FIND("Blessings",$B26,1),0)&gt;0,Enhancements!#REF!,IF(IFERROR(FIND("Wood",$B26,1),0)&gt;0,Enhancements!$G$12,IF(IFERROR(FIND("Leather",$B26,1),0)&gt;0,Enhancements!$G$16,IF(IFERROR(FIND("Bone",$B26,1),0)&gt;0,Enhancements!#REF!,IF(IFERROR(FIND("Cloth",$B26,1),0)&gt;0,Enhancements!$G$25,""))))))))</f>
        <v/>
      </c>
      <c r="G26" s="12" t="str">
        <f>IF($B26=0,"",IF(IFERROR(FIND("Metal",$B26,1),0)&gt;0,Enhancements!$G$21,IF(IFERROR(FIND("Rope",$B26,1),0)&gt;0,Enhancements!#REF!,IF(IFERROR(FIND("Blessings",$B26,1),0)&gt;0,Enhancements!#REF!,IF(IFERROR(FIND("Wood",$B26,1),0)&gt;0,Enhancements!$G$13,IF(IFERROR(FIND("Leather",$B26,1),0)&gt;0,Enhancements!$G$17,IF(IFERROR(FIND("Bone",$B26,1),0)&gt;0,Enhancements!#REF!,IF(IFERROR(FIND("Cloth",$B26,1),0)&gt;0,Enhancements!$G$26,""))))))))</f>
        <v/>
      </c>
      <c r="H26" s="12" t="str">
        <f>IF($B26=0,"",IF(IFERROR(FIND("Metal",$B26,1),0)&gt;0,Enhancements!$G$22,IF(IFERROR(FIND("Blessings",$B26,1),0)&gt;0,Enhancements!#REF!,IF(IFERROR(FIND("Wood",$B26,1),0)&gt;0,Enhancements!$G$14,IF(IFERROR(FIND("Leather",$B26,1),0)&gt;0,Enhancements!$G$18,IF(IFERROR(FIND("Bone",$B26,1),0)&gt;0,Enhancements!#REF!,IF(IFERROR(FIND("Cloth",$B26,1),0)&gt;0,Enhancements!$G$27,"")))))))</f>
        <v/>
      </c>
      <c r="I26" s="12"/>
      <c r="K26" s="12" t="str">
        <f>IF(IFERROR(FIND("Metal+Wood",#REF!,1),0)&gt;0,Enhancements!$G$7,"")</f>
        <v/>
      </c>
      <c r="L26" s="12" t="str">
        <f>IF(IFERROR(FIND("Metal+Wood",#REF!,1),0)&gt;0,Enhancements!$G$8,"")</f>
        <v/>
      </c>
      <c r="M26" s="12" t="str">
        <f>IF(IFERROR(FIND("Metal+Wood",#REF!,1),0)&gt;0,Enhancements!$G$9,"")</f>
        <v/>
      </c>
      <c r="N26" s="12" t="str">
        <f>IF(IFERROR(FIND("Metal+Wood",#REF!,1),0)&gt;0,Enhancements!$G$10,"")</f>
        <v/>
      </c>
      <c r="O26" s="12"/>
      <c r="Q26" s="2" t="s">
        <v>163</v>
      </c>
      <c r="R26" s="5"/>
      <c r="S26" s="2" t="s">
        <v>177</v>
      </c>
      <c r="T26" s="5" t="s">
        <v>737</v>
      </c>
      <c r="U26" s="5" t="s">
        <v>737</v>
      </c>
      <c r="V26" s="5" t="s">
        <v>216</v>
      </c>
      <c r="W26" s="5" t="s">
        <v>570</v>
      </c>
      <c r="X26" s="2" t="s">
        <v>189</v>
      </c>
      <c r="Y26" s="5" t="s">
        <v>190</v>
      </c>
      <c r="Z26" s="5">
        <f>Cost_Compute!D122</f>
        <v>0</v>
      </c>
      <c r="AA26" s="5" t="str">
        <f>IFERROR(HLOOKUP($Z26,Magic_Lores!$A$1:$ES$3,MATCH(Magic_Lores!$A$3,Magic_Lores!$A$1:$A$3,0),FALSE),"")</f>
        <v/>
      </c>
      <c r="AB26" s="5"/>
      <c r="AD26" s="73">
        <v>25</v>
      </c>
      <c r="AE26" s="46" t="s">
        <v>430</v>
      </c>
      <c r="AG26" s="105" t="s">
        <v>624</v>
      </c>
    </row>
    <row r="27" spans="1:33" ht="47.25" x14ac:dyDescent="0.25">
      <c r="B27">
        <f>Character_Builder!K18</f>
        <v>0</v>
      </c>
      <c r="E27" s="12" t="str">
        <f>IF($B27=0,"",IF(IFERROR(FIND("Metal",$B27,1),0)&gt;0,Enhancements!$G$19,IF(IFERROR(FIND("Rope",$B27,1),0)&gt;0,Enhancements!#REF!,IF(IFERROR(FIND("Blessings",$B27,1),0)&gt;0,Enhancements!#REF!,IF(IFERROR(FIND("Wood",$B27,1),0)&gt;0,Enhancements!$G$11,IF(IFERROR(FIND("Leather",$B27,1),0)&gt;0,Enhancements!$G$15,IF(IFERROR(FIND("Bone",$B27,1),0)&gt;0,Enhancements!#REF!,IF(IFERROR(FIND("Cloth",$B27,1),0)&gt;0,Enhancements!$G$24,""))))))))</f>
        <v/>
      </c>
      <c r="F27" s="12" t="str">
        <f>IF($B27=0,"",IF(IFERROR(FIND("Metal",$B27,1),0)&gt;0,Enhancements!$G$20,IF(IFERROR(FIND("Rope",$B27,1),0)&gt;0,Enhancements!#REF!,IF(IFERROR(FIND("Blessings",$B27,1),0)&gt;0,Enhancements!#REF!,IF(IFERROR(FIND("Wood",$B27,1),0)&gt;0,Enhancements!$G$12,IF(IFERROR(FIND("Leather",$B27,1),0)&gt;0,Enhancements!$G$16,IF(IFERROR(FIND("Bone",$B27,1),0)&gt;0,Enhancements!#REF!,IF(IFERROR(FIND("Cloth",$B27,1),0)&gt;0,Enhancements!$G$25,""))))))))</f>
        <v/>
      </c>
      <c r="G27" s="12" t="str">
        <f>IF($B27=0,"",IF(IFERROR(FIND("Metal",$B27,1),0)&gt;0,Enhancements!$G$21,IF(IFERROR(FIND("Rope",$B27,1),0)&gt;0,Enhancements!#REF!,IF(IFERROR(FIND("Blessings",$B27,1),0)&gt;0,Enhancements!#REF!,IF(IFERROR(FIND("Wood",$B27,1),0)&gt;0,Enhancements!$G$13,IF(IFERROR(FIND("Leather",$B27,1),0)&gt;0,Enhancements!$G$17,IF(IFERROR(FIND("Bone",$B27,1),0)&gt;0,Enhancements!#REF!,IF(IFERROR(FIND("Cloth",$B27,1),0)&gt;0,Enhancements!$G$26,""))))))))</f>
        <v/>
      </c>
      <c r="H27" s="12" t="str">
        <f>IF($B27=0,"",IF(IFERROR(FIND("Metal",$B27,1),0)&gt;0,Enhancements!$G$22,IF(IFERROR(FIND("Blessings",$B27,1),0)&gt;0,Enhancements!#REF!,IF(IFERROR(FIND("Wood",$B27,1),0)&gt;0,Enhancements!$G$14,IF(IFERROR(FIND("Leather",$B27,1),0)&gt;0,Enhancements!$G$18,IF(IFERROR(FIND("Bone",$B27,1),0)&gt;0,Enhancements!#REF!,IF(IFERROR(FIND("Cloth",$B27,1),0)&gt;0,Enhancements!$G$27,"")))))))</f>
        <v/>
      </c>
      <c r="I27" s="12"/>
      <c r="K27" s="12" t="str">
        <f>IF(IFERROR(FIND("Metal+Wood",#REF!,1),0)&gt;0,Enhancements!$G$7,"")</f>
        <v/>
      </c>
      <c r="L27" s="12" t="str">
        <f>IF(IFERROR(FIND("Metal+Wood",#REF!,1),0)&gt;0,Enhancements!$G$8,"")</f>
        <v/>
      </c>
      <c r="M27" s="12" t="str">
        <f>IF(IFERROR(FIND("Metal+Wood",#REF!,1),0)&gt;0,Enhancements!$G$9,"")</f>
        <v/>
      </c>
      <c r="N27" s="12" t="str">
        <f>IF(IFERROR(FIND("Metal+Wood",#REF!,1),0)&gt;0,Enhancements!$G$10,"")</f>
        <v/>
      </c>
      <c r="O27" s="12"/>
      <c r="Q27" s="2" t="s">
        <v>167</v>
      </c>
      <c r="R27" s="5"/>
      <c r="S27" s="2" t="s">
        <v>174</v>
      </c>
      <c r="T27" s="5" t="s">
        <v>199</v>
      </c>
      <c r="U27" s="5" t="s">
        <v>199</v>
      </c>
      <c r="V27" s="5" t="s">
        <v>217</v>
      </c>
      <c r="W27" s="5" t="s">
        <v>567</v>
      </c>
      <c r="X27" s="2" t="s">
        <v>188</v>
      </c>
      <c r="Y27" s="5" t="s">
        <v>193</v>
      </c>
      <c r="Z27" s="5">
        <f>Cost_Compute!D123</f>
        <v>0</v>
      </c>
      <c r="AA27" s="5" t="str">
        <f>IFERROR(HLOOKUP($Z27,Magic_Lores!$A$1:$ES$3,MATCH(Magic_Lores!$A$3,Magic_Lores!$A$1:$A$3,0),FALSE),"")</f>
        <v/>
      </c>
      <c r="AB27" s="5"/>
      <c r="AC27" s="10" t="s">
        <v>247</v>
      </c>
      <c r="AE27" s="46" t="s">
        <v>829</v>
      </c>
      <c r="AG27" s="46" t="s">
        <v>562</v>
      </c>
    </row>
    <row r="28" spans="1:33" ht="47.25" x14ac:dyDescent="0.25">
      <c r="B28">
        <f>Character_Builder!K19</f>
        <v>0</v>
      </c>
      <c r="E28" s="12" t="str">
        <f>IF($B28=0,"",IF(IFERROR(FIND("Metal",$B28,1),0)&gt;0,Enhancements!$G$19,IF(IFERROR(FIND("Rope",$B28,1),0)&gt;0,Enhancements!#REF!,IF(IFERROR(FIND("Blessings",$B28,1),0)&gt;0,Enhancements!#REF!,IF(IFERROR(FIND("Wood",$B28,1),0)&gt;0,Enhancements!$G$11,IF(IFERROR(FIND("Leather",$B28,1),0)&gt;0,Enhancements!$G$15,IF(IFERROR(FIND("Bone",$B28,1),0)&gt;0,Enhancements!#REF!,IF(IFERROR(FIND("Cloth",$B28,1),0)&gt;0,Enhancements!$G$24,""))))))))</f>
        <v/>
      </c>
      <c r="F28" s="12" t="str">
        <f>IF($B28=0,"",IF(IFERROR(FIND("Metal",$B28,1),0)&gt;0,Enhancements!$G$20,IF(IFERROR(FIND("Rope",$B28,1),0)&gt;0,Enhancements!#REF!,IF(IFERROR(FIND("Blessings",$B28,1),0)&gt;0,Enhancements!#REF!,IF(IFERROR(FIND("Wood",$B28,1),0)&gt;0,Enhancements!$G$12,IF(IFERROR(FIND("Leather",$B28,1),0)&gt;0,Enhancements!$G$16,IF(IFERROR(FIND("Bone",$B28,1),0)&gt;0,Enhancements!#REF!,IF(IFERROR(FIND("Cloth",$B28,1),0)&gt;0,Enhancements!$G$25,""))))))))</f>
        <v/>
      </c>
      <c r="G28" s="12" t="str">
        <f>IF($B28=0,"",IF(IFERROR(FIND("Metal",$B28,1),0)&gt;0,Enhancements!$G$21,IF(IFERROR(FIND("Rope",$B28,1),0)&gt;0,Enhancements!#REF!,IF(IFERROR(FIND("Blessings",$B28,1),0)&gt;0,Enhancements!#REF!,IF(IFERROR(FIND("Wood",$B28,1),0)&gt;0,Enhancements!$G$13,IF(IFERROR(FIND("Leather",$B28,1),0)&gt;0,Enhancements!$G$17,IF(IFERROR(FIND("Bone",$B28,1),0)&gt;0,Enhancements!#REF!,IF(IFERROR(FIND("Cloth",$B28,1),0)&gt;0,Enhancements!$G$26,""))))))))</f>
        <v/>
      </c>
      <c r="H28" s="12" t="str">
        <f>IF($B28=0,"",IF(IFERROR(FIND("Metal",$B28,1),0)&gt;0,Enhancements!$G$22,IF(IFERROR(FIND("Blessings",$B28,1),0)&gt;0,Enhancements!#REF!,IF(IFERROR(FIND("Wood",$B28,1),0)&gt;0,Enhancements!$G$14,IF(IFERROR(FIND("Leather",$B28,1),0)&gt;0,Enhancements!$G$18,IF(IFERROR(FIND("Bone",$B28,1),0)&gt;0,Enhancements!#REF!,IF(IFERROR(FIND("Cloth",$B28,1),0)&gt;0,Enhancements!$G$27,"")))))))</f>
        <v/>
      </c>
      <c r="I28" s="12"/>
      <c r="K28" s="12" t="str">
        <f>IF(IFERROR(FIND("Metal+Wood",#REF!,1),0)&gt;0,Enhancements!$G$7,"")</f>
        <v/>
      </c>
      <c r="L28" s="12" t="str">
        <f>IF(IFERROR(FIND("Metal+Wood",#REF!,1),0)&gt;0,Enhancements!$G$8,"")</f>
        <v/>
      </c>
      <c r="M28" s="12" t="str">
        <f>IF(IFERROR(FIND("Metal+Wood",#REF!,1),0)&gt;0,Enhancements!$G$9,"")</f>
        <v/>
      </c>
      <c r="N28" s="12" t="str">
        <f>IF(IFERROR(FIND("Metal+Wood",#REF!,1),0)&gt;0,Enhancements!$G$10,"")</f>
        <v/>
      </c>
      <c r="O28" s="12"/>
      <c r="Q28" s="2" t="s">
        <v>171</v>
      </c>
      <c r="R28" s="5"/>
      <c r="S28" s="2" t="s">
        <v>180</v>
      </c>
      <c r="T28" s="5" t="s">
        <v>200</v>
      </c>
      <c r="U28" s="5" t="s">
        <v>200</v>
      </c>
      <c r="V28" s="5" t="s">
        <v>218</v>
      </c>
      <c r="W28" s="5"/>
      <c r="X28" s="2" t="s">
        <v>186</v>
      </c>
      <c r="Y28" s="51"/>
      <c r="Z28" s="5">
        <f>Cost_Compute!D124</f>
        <v>0</v>
      </c>
      <c r="AA28" s="5" t="str">
        <f>IFERROR(HLOOKUP($Z28,Magic_Lores!$A$1:$ES$3,MATCH(Magic_Lores!$A$3,Magic_Lores!$A$1:$A$3,0),FALSE),"")</f>
        <v/>
      </c>
      <c r="AB28" s="5"/>
      <c r="AC28" s="70" t="s">
        <v>857</v>
      </c>
      <c r="AE28" s="46" t="s">
        <v>830</v>
      </c>
      <c r="AG28" s="46" t="s">
        <v>73</v>
      </c>
    </row>
    <row r="29" spans="1:33" ht="47.25" x14ac:dyDescent="0.25">
      <c r="B29">
        <f>Character_Builder!K20</f>
        <v>0</v>
      </c>
      <c r="E29" s="12" t="str">
        <f>IF($B29=0,"",IF(IFERROR(FIND("Metal",$B29,1),0)&gt;0,Enhancements!$G$19,IF(IFERROR(FIND("Rope",$B29,1),0)&gt;0,Enhancements!#REF!,IF(IFERROR(FIND("Blessings",$B29,1),0)&gt;0,Enhancements!#REF!,IF(IFERROR(FIND("Wood",$B29,1),0)&gt;0,Enhancements!$G$11,IF(IFERROR(FIND("Leather",$B29,1),0)&gt;0,Enhancements!$G$15,IF(IFERROR(FIND("Bone",$B29,1),0)&gt;0,Enhancements!#REF!,IF(IFERROR(FIND("Cloth",$B29,1),0)&gt;0,Enhancements!$G$24,""))))))))</f>
        <v/>
      </c>
      <c r="F29" s="12" t="str">
        <f>IF($B29=0,"",IF(IFERROR(FIND("Metal",$B29,1),0)&gt;0,Enhancements!$G$20,IF(IFERROR(FIND("Rope",$B29,1),0)&gt;0,Enhancements!#REF!,IF(IFERROR(FIND("Blessings",$B29,1),0)&gt;0,Enhancements!#REF!,IF(IFERROR(FIND("Wood",$B29,1),0)&gt;0,Enhancements!$G$12,IF(IFERROR(FIND("Leather",$B29,1),0)&gt;0,Enhancements!$G$16,IF(IFERROR(FIND("Bone",$B29,1),0)&gt;0,Enhancements!#REF!,IF(IFERROR(FIND("Cloth",$B29,1),0)&gt;0,Enhancements!$G$25,""))))))))</f>
        <v/>
      </c>
      <c r="G29" s="12" t="str">
        <f>IF($B29=0,"",IF(IFERROR(FIND("Metal",$B29,1),0)&gt;0,Enhancements!$G$21,IF(IFERROR(FIND("Rope",$B29,1),0)&gt;0,Enhancements!#REF!,IF(IFERROR(FIND("Blessings",$B29,1),0)&gt;0,Enhancements!#REF!,IF(IFERROR(FIND("Wood",$B29,1),0)&gt;0,Enhancements!$G$13,IF(IFERROR(FIND("Leather",$B29,1),0)&gt;0,Enhancements!$G$17,IF(IFERROR(FIND("Bone",$B29,1),0)&gt;0,Enhancements!#REF!,IF(IFERROR(FIND("Cloth",$B29,1),0)&gt;0,Enhancements!$G$26,""))))))))</f>
        <v/>
      </c>
      <c r="H29" s="12" t="str">
        <f>IF($B29=0,"",IF(IFERROR(FIND("Metal",$B29,1),0)&gt;0,Enhancements!$G$22,IF(IFERROR(FIND("Blessings",$B29,1),0)&gt;0,Enhancements!#REF!,IF(IFERROR(FIND("Wood",$B29,1),0)&gt;0,Enhancements!$G$14,IF(IFERROR(FIND("Leather",$B29,1),0)&gt;0,Enhancements!$G$18,IF(IFERROR(FIND("Bone",$B29,1),0)&gt;0,Enhancements!#REF!,IF(IFERROR(FIND("Cloth",$B29,1),0)&gt;0,Enhancements!$G$27,"")))))))</f>
        <v/>
      </c>
      <c r="I29" s="12"/>
      <c r="K29" s="12" t="str">
        <f>IF(IFERROR(FIND("Metal+Wood",#REF!,1),0)&gt;0,Enhancements!$G$7,"")</f>
        <v/>
      </c>
      <c r="L29" s="12" t="str">
        <f>IF(IFERROR(FIND("Metal+Wood",#REF!,1),0)&gt;0,Enhancements!$G$8,"")</f>
        <v/>
      </c>
      <c r="M29" s="12" t="str">
        <f>IF(IFERROR(FIND("Metal+Wood",#REF!,1),0)&gt;0,Enhancements!$G$9,"")</f>
        <v/>
      </c>
      <c r="N29" s="12" t="str">
        <f>IF(IFERROR(FIND("Metal+Wood",#REF!,1),0)&gt;0,Enhancements!$G$10,"")</f>
        <v/>
      </c>
      <c r="O29" s="12"/>
      <c r="Q29" s="2"/>
      <c r="R29" s="5"/>
      <c r="S29" s="2" t="s">
        <v>181</v>
      </c>
      <c r="T29" s="5" t="s">
        <v>201</v>
      </c>
      <c r="U29" s="5" t="s">
        <v>201</v>
      </c>
      <c r="V29" s="5"/>
      <c r="W29" s="5"/>
      <c r="X29" s="2" t="s">
        <v>190</v>
      </c>
      <c r="Y29" s="5" t="s">
        <v>737</v>
      </c>
      <c r="Z29" s="5">
        <f>Cost_Compute!D125</f>
        <v>0</v>
      </c>
      <c r="AA29" s="5" t="str">
        <f>IFERROR(HLOOKUP($Z29,Magic_Lores!$A$1:$ES$3,MATCH(Magic_Lores!$A$3,Magic_Lores!$A$1:$A$3,0),FALSE),"")</f>
        <v/>
      </c>
      <c r="AB29" s="5"/>
      <c r="AC29" s="70" t="s">
        <v>444</v>
      </c>
      <c r="AE29" s="46" t="s">
        <v>412</v>
      </c>
      <c r="AG29" s="46" t="s">
        <v>623</v>
      </c>
    </row>
    <row r="30" spans="1:33" ht="47.25" x14ac:dyDescent="0.25">
      <c r="B30">
        <f>Character_Builder!K21</f>
        <v>0</v>
      </c>
      <c r="E30" s="12" t="str">
        <f>IF($B30=0,"",IF(IFERROR(FIND("Metal",$B30,1),0)&gt;0,Enhancements!$G$19,IF(IFERROR(FIND("Rope",$B30,1),0)&gt;0,Enhancements!#REF!,IF(IFERROR(FIND("Blessings",$B30,1),0)&gt;0,Enhancements!#REF!,IF(IFERROR(FIND("Wood",$B30,1),0)&gt;0,Enhancements!$G$11,IF(IFERROR(FIND("Leather",$B30,1),0)&gt;0,Enhancements!$G$15,IF(IFERROR(FIND("Bone",$B30,1),0)&gt;0,Enhancements!#REF!,IF(IFERROR(FIND("Cloth",$B30,1),0)&gt;0,Enhancements!$G$24,""))))))))</f>
        <v/>
      </c>
      <c r="F30" s="12" t="str">
        <f>IF($B30=0,"",IF(IFERROR(FIND("Metal",$B30,1),0)&gt;0,Enhancements!$G$20,IF(IFERROR(FIND("Rope",$B30,1),0)&gt;0,Enhancements!#REF!,IF(IFERROR(FIND("Blessings",$B30,1),0)&gt;0,Enhancements!#REF!,IF(IFERROR(FIND("Wood",$B30,1),0)&gt;0,Enhancements!$G$12,IF(IFERROR(FIND("Leather",$B30,1),0)&gt;0,Enhancements!$G$16,IF(IFERROR(FIND("Bone",$B30,1),0)&gt;0,Enhancements!#REF!,IF(IFERROR(FIND("Cloth",$B30,1),0)&gt;0,Enhancements!$G$25,""))))))))</f>
        <v/>
      </c>
      <c r="G30" s="12" t="str">
        <f>IF($B30=0,"",IF(IFERROR(FIND("Metal",$B30,1),0)&gt;0,Enhancements!$G$21,IF(IFERROR(FIND("Rope",$B30,1),0)&gt;0,Enhancements!#REF!,IF(IFERROR(FIND("Blessings",$B30,1),0)&gt;0,Enhancements!#REF!,IF(IFERROR(FIND("Wood",$B30,1),0)&gt;0,Enhancements!$G$13,IF(IFERROR(FIND("Leather",$B30,1),0)&gt;0,Enhancements!$G$17,IF(IFERROR(FIND("Bone",$B30,1),0)&gt;0,Enhancements!#REF!,IF(IFERROR(FIND("Cloth",$B30,1),0)&gt;0,Enhancements!$G$26,""))))))))</f>
        <v/>
      </c>
      <c r="H30" s="12" t="str">
        <f>IF($B30=0,"",IF(IFERROR(FIND("Metal",$B30,1),0)&gt;0,Enhancements!$G$22,IF(IFERROR(FIND("Blessings",$B30,1),0)&gt;0,Enhancements!#REF!,IF(IFERROR(FIND("Wood",$B30,1),0)&gt;0,Enhancements!$G$14,IF(IFERROR(FIND("Leather",$B30,1),0)&gt;0,Enhancements!$G$18,IF(IFERROR(FIND("Bone",$B30,1),0)&gt;0,Enhancements!#REF!,IF(IFERROR(FIND("Cloth",$B30,1),0)&gt;0,Enhancements!$G$27,"")))))))</f>
        <v/>
      </c>
      <c r="I30" s="12"/>
      <c r="K30" s="12" t="str">
        <f>IF(IFERROR(FIND("Metal+Wood",#REF!,1),0)&gt;0,Enhancements!$G$7,"")</f>
        <v/>
      </c>
      <c r="L30" s="12" t="str">
        <f>IF(IFERROR(FIND("Metal+Wood",#REF!,1),0)&gt;0,Enhancements!$G$8,"")</f>
        <v/>
      </c>
      <c r="M30" s="12" t="str">
        <f>IF(IFERROR(FIND("Metal+Wood",#REF!,1),0)&gt;0,Enhancements!$G$9,"")</f>
        <v/>
      </c>
      <c r="N30" s="12" t="str">
        <f>IF(IFERROR(FIND("Metal+Wood",#REF!,1),0)&gt;0,Enhancements!$G$10,"")</f>
        <v/>
      </c>
      <c r="O30" s="12"/>
      <c r="Q30" s="71" t="s">
        <v>739</v>
      </c>
      <c r="R30" s="5"/>
      <c r="S30" s="2" t="s">
        <v>176</v>
      </c>
      <c r="T30" s="5" t="s">
        <v>198</v>
      </c>
      <c r="U30" s="5" t="s">
        <v>198</v>
      </c>
      <c r="V30" s="5"/>
      <c r="W30" s="5"/>
      <c r="X30" s="2" t="s">
        <v>193</v>
      </c>
      <c r="Y30" s="5" t="s">
        <v>685</v>
      </c>
      <c r="Z30" s="5">
        <f>Cost_Compute!D126</f>
        <v>0</v>
      </c>
      <c r="AA30" s="5" t="str">
        <f>IFERROR(HLOOKUP($Z30,Magic_Lores!$A$1:$ES$3,MATCH(Magic_Lores!$A$3,Magic_Lores!$A$1:$A$3,0),FALSE),"")</f>
        <v/>
      </c>
      <c r="AB30" s="5"/>
      <c r="AC30" s="70" t="s">
        <v>443</v>
      </c>
      <c r="AE30" s="46" t="s">
        <v>704</v>
      </c>
    </row>
    <row r="31" spans="1:33" ht="47.25" x14ac:dyDescent="0.25">
      <c r="B31">
        <f>Character_Builder!K22</f>
        <v>0</v>
      </c>
      <c r="E31" s="12" t="str">
        <f>IF($B31=0,"",IF(IFERROR(FIND("Metal",$B31,1),0)&gt;0,Enhancements!$G$19,IF(IFERROR(FIND("Rope",$B31,1),0)&gt;0,Enhancements!#REF!,IF(IFERROR(FIND("Blessings",$B31,1),0)&gt;0,Enhancements!#REF!,IF(IFERROR(FIND("Wood",$B31,1),0)&gt;0,Enhancements!$G$11,IF(IFERROR(FIND("Leather",$B31,1),0)&gt;0,Enhancements!$G$15,IF(IFERROR(FIND("Bone",$B31,1),0)&gt;0,Enhancements!#REF!,IF(IFERROR(FIND("Cloth",$B31,1),0)&gt;0,Enhancements!$G$24,""))))))))</f>
        <v/>
      </c>
      <c r="F31" s="12" t="str">
        <f>IF($B31=0,"",IF(IFERROR(FIND("Metal",$B31,1),0)&gt;0,Enhancements!$G$20,IF(IFERROR(FIND("Rope",$B31,1),0)&gt;0,Enhancements!#REF!,IF(IFERROR(FIND("Blessings",$B31,1),0)&gt;0,Enhancements!#REF!,IF(IFERROR(FIND("Wood",$B31,1),0)&gt;0,Enhancements!$G$12,IF(IFERROR(FIND("Leather",$B31,1),0)&gt;0,Enhancements!$G$16,IF(IFERROR(FIND("Bone",$B31,1),0)&gt;0,Enhancements!#REF!,IF(IFERROR(FIND("Cloth",$B31,1),0)&gt;0,Enhancements!$G$25,""))))))))</f>
        <v/>
      </c>
      <c r="G31" s="12" t="str">
        <f>IF($B31=0,"",IF(IFERROR(FIND("Metal",$B31,1),0)&gt;0,Enhancements!$G$21,IF(IFERROR(FIND("Rope",$B31,1),0)&gt;0,Enhancements!#REF!,IF(IFERROR(FIND("Blessings",$B31,1),0)&gt;0,Enhancements!#REF!,IF(IFERROR(FIND("Wood",$B31,1),0)&gt;0,Enhancements!$G$13,IF(IFERROR(FIND("Leather",$B31,1),0)&gt;0,Enhancements!$G$17,IF(IFERROR(FIND("Bone",$B31,1),0)&gt;0,Enhancements!#REF!,IF(IFERROR(FIND("Cloth",$B31,1),0)&gt;0,Enhancements!$G$26,""))))))))</f>
        <v/>
      </c>
      <c r="H31" s="12" t="str">
        <f>IF($B31=0,"",IF(IFERROR(FIND("Metal",$B31,1),0)&gt;0,Enhancements!$G$22,IF(IFERROR(FIND("Blessings",$B31,1),0)&gt;0,Enhancements!#REF!,IF(IFERROR(FIND("Wood",$B31,1),0)&gt;0,Enhancements!$G$14,IF(IFERROR(FIND("Leather",$B31,1),0)&gt;0,Enhancements!$G$18,IF(IFERROR(FIND("Bone",$B31,1),0)&gt;0,Enhancements!#REF!,IF(IFERROR(FIND("Cloth",$B31,1),0)&gt;0,Enhancements!$G$27,"")))))))</f>
        <v/>
      </c>
      <c r="I31" s="12"/>
      <c r="K31" s="12" t="str">
        <f>IF(IFERROR(FIND("Metal+Wood",#REF!,1),0)&gt;0,Enhancements!$G$7,"")</f>
        <v/>
      </c>
      <c r="L31" s="12" t="str">
        <f>IF(IFERROR(FIND("Metal+Wood",#REF!,1),0)&gt;0,Enhancements!$G$8,"")</f>
        <v/>
      </c>
      <c r="M31" s="12" t="str">
        <f>IF(IFERROR(FIND("Metal+Wood",#REF!,1),0)&gt;0,Enhancements!$G$9,"")</f>
        <v/>
      </c>
      <c r="N31" s="12" t="str">
        <f>IF(IFERROR(FIND("Metal+Wood",#REF!,1),0)&gt;0,Enhancements!$G$10,"")</f>
        <v/>
      </c>
      <c r="O31" s="12"/>
      <c r="Q31" s="2" t="s">
        <v>178</v>
      </c>
      <c r="R31" s="5"/>
      <c r="S31" s="2"/>
      <c r="T31" s="51"/>
      <c r="U31" s="51"/>
      <c r="V31" s="5"/>
      <c r="W31" s="5"/>
      <c r="X31" s="2"/>
      <c r="Y31" s="5" t="s">
        <v>688</v>
      </c>
      <c r="Z31" s="5">
        <f>Cost_Compute!D127</f>
        <v>0</v>
      </c>
      <c r="AA31" s="5" t="str">
        <f>IFERROR(HLOOKUP($Z31,Magic_Lores!$A$1:$ES$3,MATCH(Magic_Lores!$A$3,Magic_Lores!$A$1:$A$3,0),FALSE),"")</f>
        <v/>
      </c>
      <c r="AB31" s="5"/>
      <c r="AC31" s="70" t="s">
        <v>994</v>
      </c>
      <c r="AE31" s="46" t="s">
        <v>705</v>
      </c>
    </row>
    <row r="32" spans="1:33" ht="63" x14ac:dyDescent="0.25">
      <c r="B32">
        <f>Character_Builder!K23</f>
        <v>0</v>
      </c>
      <c r="E32" s="12" t="str">
        <f>IF($B32=0,"",IF(IFERROR(FIND("Metal",$B32,1),0)&gt;0,Enhancements!$G$19,IF(IFERROR(FIND("Rope",$B32,1),0)&gt;0,Enhancements!#REF!,IF(IFERROR(FIND("Blessings",$B32,1),0)&gt;0,Enhancements!#REF!,IF(IFERROR(FIND("Wood",$B32,1),0)&gt;0,Enhancements!$G$11,IF(IFERROR(FIND("Leather",$B32,1),0)&gt;0,Enhancements!$G$15,IF(IFERROR(FIND("Bone",$B32,1),0)&gt;0,Enhancements!#REF!,IF(IFERROR(FIND("Cloth",$B32,1),0)&gt;0,Enhancements!$G$24,""))))))))</f>
        <v/>
      </c>
      <c r="F32" s="12" t="str">
        <f>IF($B32=0,"",IF(IFERROR(FIND("Metal",$B32,1),0)&gt;0,Enhancements!$G$20,IF(IFERROR(FIND("Rope",$B32,1),0)&gt;0,Enhancements!#REF!,IF(IFERROR(FIND("Blessings",$B32,1),0)&gt;0,Enhancements!#REF!,IF(IFERROR(FIND("Wood",$B32,1),0)&gt;0,Enhancements!$G$12,IF(IFERROR(FIND("Leather",$B32,1),0)&gt;0,Enhancements!$G$16,IF(IFERROR(FIND("Bone",$B32,1),0)&gt;0,Enhancements!#REF!,IF(IFERROR(FIND("Cloth",$B32,1),0)&gt;0,Enhancements!$G$25,""))))))))</f>
        <v/>
      </c>
      <c r="G32" s="12" t="str">
        <f>IF($B32=0,"",IF(IFERROR(FIND("Metal",$B32,1),0)&gt;0,Enhancements!$G$21,IF(IFERROR(FIND("Rope",$B32,1),0)&gt;0,Enhancements!#REF!,IF(IFERROR(FIND("Blessings",$B32,1),0)&gt;0,Enhancements!#REF!,IF(IFERROR(FIND("Wood",$B32,1),0)&gt;0,Enhancements!$G$13,IF(IFERROR(FIND("Leather",$B32,1),0)&gt;0,Enhancements!$G$17,IF(IFERROR(FIND("Bone",$B32,1),0)&gt;0,Enhancements!#REF!,IF(IFERROR(FIND("Cloth",$B32,1),0)&gt;0,Enhancements!$G$26,""))))))))</f>
        <v/>
      </c>
      <c r="H32" s="12" t="str">
        <f>IF($B32=0,"",IF(IFERROR(FIND("Metal",$B32,1),0)&gt;0,Enhancements!$G$22,IF(IFERROR(FIND("Blessings",$B32,1),0)&gt;0,Enhancements!#REF!,IF(IFERROR(FIND("Wood",$B32,1),0)&gt;0,Enhancements!$G$14,IF(IFERROR(FIND("Leather",$B32,1),0)&gt;0,Enhancements!$G$18,IF(IFERROR(FIND("Bone",$B32,1),0)&gt;0,Enhancements!#REF!,IF(IFERROR(FIND("Cloth",$B32,1),0)&gt;0,Enhancements!$G$27,"")))))))</f>
        <v/>
      </c>
      <c r="I32" s="12"/>
      <c r="K32" s="12" t="str">
        <f>IF(IFERROR(FIND("Metal+Wood",#REF!,1),0)&gt;0,Enhancements!$G$7,"")</f>
        <v/>
      </c>
      <c r="L32" s="12" t="str">
        <f>IF(IFERROR(FIND("Metal+Wood",#REF!,1),0)&gt;0,Enhancements!$G$8,"")</f>
        <v/>
      </c>
      <c r="M32" s="12" t="str">
        <f>IF(IFERROR(FIND("Metal+Wood",#REF!,1),0)&gt;0,Enhancements!$G$9,"")</f>
        <v/>
      </c>
      <c r="N32" s="12" t="str">
        <f>IF(IFERROR(FIND("Metal+Wood",#REF!,1),0)&gt;0,Enhancements!$G$10,"")</f>
        <v/>
      </c>
      <c r="O32" s="12"/>
      <c r="Q32" s="2" t="s">
        <v>175</v>
      </c>
      <c r="R32" s="5"/>
      <c r="S32" s="80" t="s">
        <v>738</v>
      </c>
      <c r="T32" s="5" t="s">
        <v>736</v>
      </c>
      <c r="U32" s="5" t="s">
        <v>736</v>
      </c>
      <c r="V32" s="5"/>
      <c r="W32" s="5"/>
      <c r="X32" s="80" t="s">
        <v>737</v>
      </c>
      <c r="Y32" s="5" t="s">
        <v>687</v>
      </c>
      <c r="Z32" s="5" t="e">
        <f>#REF!</f>
        <v>#REF!</v>
      </c>
      <c r="AA32" s="5" t="str">
        <f>IFERROR(HLOOKUP($Z32,Magic_Lores!$A$1:$ES$3,MATCH(Magic_Lores!$A$3,Magic_Lores!$A$1:$A$3,0),FALSE),"")</f>
        <v/>
      </c>
      <c r="AB32" s="5"/>
      <c r="AC32" s="70" t="s">
        <v>991</v>
      </c>
      <c r="AE32" s="46" t="s">
        <v>854</v>
      </c>
    </row>
    <row r="33" spans="1:31" ht="47.25" x14ac:dyDescent="0.25">
      <c r="B33">
        <f>Character_Builder!K24</f>
        <v>0</v>
      </c>
      <c r="E33" s="12" t="str">
        <f>IF($B33=0,"",IF(IFERROR(FIND("Metal",$B33,1),0)&gt;0,Enhancements!$G$19,IF(IFERROR(FIND("Rope",$B33,1),0)&gt;0,Enhancements!#REF!,IF(IFERROR(FIND("Blessings",$B33,1),0)&gt;0,Enhancements!#REF!,IF(IFERROR(FIND("Wood",$B33,1),0)&gt;0,Enhancements!$G$11,IF(IFERROR(FIND("Leather",$B33,1),0)&gt;0,Enhancements!$G$15,IF(IFERROR(FIND("Bone",$B33,1),0)&gt;0,Enhancements!#REF!,IF(IFERROR(FIND("Cloth",$B33,1),0)&gt;0,Enhancements!$G$24,""))))))))</f>
        <v/>
      </c>
      <c r="F33" s="12" t="str">
        <f>IF($B33=0,"",IF(IFERROR(FIND("Metal",$B33,1),0)&gt;0,Enhancements!$G$20,IF(IFERROR(FIND("Rope",$B33,1),0)&gt;0,Enhancements!#REF!,IF(IFERROR(FIND("Blessings",$B33,1),0)&gt;0,Enhancements!#REF!,IF(IFERROR(FIND("Wood",$B33,1),0)&gt;0,Enhancements!$G$12,IF(IFERROR(FIND("Leather",$B33,1),0)&gt;0,Enhancements!$G$16,IF(IFERROR(FIND("Bone",$B33,1),0)&gt;0,Enhancements!#REF!,IF(IFERROR(FIND("Cloth",$B33,1),0)&gt;0,Enhancements!$G$25,""))))))))</f>
        <v/>
      </c>
      <c r="G33" s="12" t="str">
        <f>IF($B33=0,"",IF(IFERROR(FIND("Metal",$B33,1),0)&gt;0,Enhancements!$G$21,IF(IFERROR(FIND("Rope",$B33,1),0)&gt;0,Enhancements!#REF!,IF(IFERROR(FIND("Blessings",$B33,1),0)&gt;0,Enhancements!#REF!,IF(IFERROR(FIND("Wood",$B33,1),0)&gt;0,Enhancements!$G$13,IF(IFERROR(FIND("Leather",$B33,1),0)&gt;0,Enhancements!$G$17,IF(IFERROR(FIND("Bone",$B33,1),0)&gt;0,Enhancements!#REF!,IF(IFERROR(FIND("Cloth",$B33,1),0)&gt;0,Enhancements!$G$26,""))))))))</f>
        <v/>
      </c>
      <c r="H33" s="12" t="str">
        <f>IF($B33=0,"",IF(IFERROR(FIND("Metal",$B33,1),0)&gt;0,Enhancements!$G$22,IF(IFERROR(FIND("Blessings",$B33,1),0)&gt;0,Enhancements!#REF!,IF(IFERROR(FIND("Wood",$B33,1),0)&gt;0,Enhancements!$G$14,IF(IFERROR(FIND("Leather",$B33,1),0)&gt;0,Enhancements!$G$18,IF(IFERROR(FIND("Bone",$B33,1),0)&gt;0,Enhancements!#REF!,IF(IFERROR(FIND("Cloth",$B33,1),0)&gt;0,Enhancements!$G$27,"")))))))</f>
        <v/>
      </c>
      <c r="I33" s="12"/>
      <c r="K33" s="12" t="str">
        <f>IF(IFERROR(FIND("Metal+Wood",#REF!,1),0)&gt;0,Enhancements!$G$7,"")</f>
        <v/>
      </c>
      <c r="L33" s="12" t="str">
        <f>IF(IFERROR(FIND("Metal+Wood",#REF!,1),0)&gt;0,Enhancements!$G$8,"")</f>
        <v/>
      </c>
      <c r="M33" s="12" t="str">
        <f>IF(IFERROR(FIND("Metal+Wood",#REF!,1),0)&gt;0,Enhancements!$G$9,"")</f>
        <v/>
      </c>
      <c r="N33" s="12" t="str">
        <f>IF(IFERROR(FIND("Metal+Wood",#REF!,1),0)&gt;0,Enhancements!$G$10,"")</f>
        <v/>
      </c>
      <c r="O33" s="12"/>
      <c r="Q33" s="2" t="s">
        <v>179</v>
      </c>
      <c r="R33" s="5"/>
      <c r="S33" s="2" t="s">
        <v>191</v>
      </c>
      <c r="T33" s="5" t="s">
        <v>208</v>
      </c>
      <c r="U33" s="5" t="s">
        <v>208</v>
      </c>
      <c r="V33" s="5"/>
      <c r="W33" s="5"/>
      <c r="X33" s="2" t="s">
        <v>685</v>
      </c>
      <c r="Y33" s="5" t="s">
        <v>686</v>
      </c>
      <c r="Z33" s="5" t="e">
        <f>#REF!</f>
        <v>#REF!</v>
      </c>
      <c r="AA33" s="5" t="str">
        <f>IFERROR(HLOOKUP($Z33,Magic_Lores!$A$1:$ES$3,MATCH(Magic_Lores!$A$3,Magic_Lores!$A$1:$A$3,0),FALSE),"")</f>
        <v/>
      </c>
      <c r="AB33" s="5"/>
      <c r="AC33" s="70" t="s">
        <v>53</v>
      </c>
      <c r="AE33" s="46" t="s">
        <v>748</v>
      </c>
    </row>
    <row r="34" spans="1:31" ht="31.5" x14ac:dyDescent="0.25">
      <c r="B34">
        <f>Character_Builder!K25</f>
        <v>0</v>
      </c>
      <c r="E34" s="12" t="str">
        <f>IF($B34=0,"",IF(IFERROR(FIND("Metal",$B34,1),0)&gt;0,Enhancements!$G$19,IF(IFERROR(FIND("Rope",$B34,1),0)&gt;0,Enhancements!#REF!,IF(IFERROR(FIND("Blessings",$B34,1),0)&gt;0,Enhancements!#REF!,IF(IFERROR(FIND("Wood",$B34,1),0)&gt;0,Enhancements!$G$11,IF(IFERROR(FIND("Leather",$B34,1),0)&gt;0,Enhancements!$G$15,IF(IFERROR(FIND("Bone",$B34,1),0)&gt;0,Enhancements!#REF!,IF(IFERROR(FIND("Cloth",$B34,1),0)&gt;0,Enhancements!$G$24,""))))))))</f>
        <v/>
      </c>
      <c r="F34" s="12" t="str">
        <f>IF($B34=0,"",IF(IFERROR(FIND("Metal",$B34,1),0)&gt;0,Enhancements!$G$20,IF(IFERROR(FIND("Rope",$B34,1),0)&gt;0,Enhancements!#REF!,IF(IFERROR(FIND("Blessings",$B34,1),0)&gt;0,Enhancements!#REF!,IF(IFERROR(FIND("Wood",$B34,1),0)&gt;0,Enhancements!$G$12,IF(IFERROR(FIND("Leather",$B34,1),0)&gt;0,Enhancements!$G$16,IF(IFERROR(FIND("Bone",$B34,1),0)&gt;0,Enhancements!#REF!,IF(IFERROR(FIND("Cloth",$B34,1),0)&gt;0,Enhancements!$G$25,""))))))))</f>
        <v/>
      </c>
      <c r="G34" s="12" t="str">
        <f>IF($B34=0,"",IF(IFERROR(FIND("Metal",$B34,1),0)&gt;0,Enhancements!$G$21,IF(IFERROR(FIND("Rope",$B34,1),0)&gt;0,Enhancements!#REF!,IF(IFERROR(FIND("Blessings",$B34,1),0)&gt;0,Enhancements!#REF!,IF(IFERROR(FIND("Wood",$B34,1),0)&gt;0,Enhancements!$G$13,IF(IFERROR(FIND("Leather",$B34,1),0)&gt;0,Enhancements!$G$17,IF(IFERROR(FIND("Bone",$B34,1),0)&gt;0,Enhancements!#REF!,IF(IFERROR(FIND("Cloth",$B34,1),0)&gt;0,Enhancements!$G$26,""))))))))</f>
        <v/>
      </c>
      <c r="H34" s="12" t="str">
        <f>IF($B34=0,"",IF(IFERROR(FIND("Metal",$B34,1),0)&gt;0,Enhancements!$G$22,IF(IFERROR(FIND("Blessings",$B34,1),0)&gt;0,Enhancements!#REF!,IF(IFERROR(FIND("Wood",$B34,1),0)&gt;0,Enhancements!$G$14,IF(IFERROR(FIND("Leather",$B34,1),0)&gt;0,Enhancements!$G$18,IF(IFERROR(FIND("Bone",$B34,1),0)&gt;0,Enhancements!#REF!,IF(IFERROR(FIND("Cloth",$B34,1),0)&gt;0,Enhancements!$G$27,"")))))))</f>
        <v/>
      </c>
      <c r="I34" s="12"/>
      <c r="Q34" s="2" t="s">
        <v>183</v>
      </c>
      <c r="R34" s="5"/>
      <c r="S34" s="2" t="s">
        <v>192</v>
      </c>
      <c r="T34" s="5" t="s">
        <v>209</v>
      </c>
      <c r="U34" s="5" t="s">
        <v>209</v>
      </c>
      <c r="V34" s="5"/>
      <c r="W34" s="5"/>
      <c r="X34" s="2" t="s">
        <v>688</v>
      </c>
      <c r="Y34" s="5" t="s">
        <v>684</v>
      </c>
      <c r="Z34" s="5" t="e">
        <f>#REF!</f>
        <v>#REF!</v>
      </c>
      <c r="AA34" s="5" t="str">
        <f>IFERROR(HLOOKUP($Z34,Magic_Lores!$A$1:$ES$3,MATCH(Magic_Lores!$A$3,Magic_Lores!$A$1:$A$3,0),FALSE),"")</f>
        <v/>
      </c>
      <c r="AB34" s="5"/>
      <c r="AC34" s="70" t="s">
        <v>442</v>
      </c>
      <c r="AE34" s="46" t="s">
        <v>386</v>
      </c>
    </row>
    <row r="35" spans="1:31" ht="31.5" x14ac:dyDescent="0.25">
      <c r="B35">
        <f>Character_Builder!K26</f>
        <v>0</v>
      </c>
      <c r="E35" s="12" t="str">
        <f>IF($B35=0,"",IF(IFERROR(FIND("Metal",$B35,1),0)&gt;0,Enhancements!$G$19,IF(IFERROR(FIND("Rope",$B35,1),0)&gt;0,Enhancements!#REF!,IF(IFERROR(FIND("Blessings",$B35,1),0)&gt;0,Enhancements!#REF!,IF(IFERROR(FIND("Wood",$B35,1),0)&gt;0,Enhancements!$G$11,IF(IFERROR(FIND("Leather",$B35,1),0)&gt;0,Enhancements!$G$15,IF(IFERROR(FIND("Bone",$B35,1),0)&gt;0,Enhancements!#REF!,IF(IFERROR(FIND("Cloth",$B35,1),0)&gt;0,Enhancements!$G$24,""))))))))</f>
        <v/>
      </c>
      <c r="F35" s="12" t="str">
        <f>IF($B35=0,"",IF(IFERROR(FIND("Metal",$B35,1),0)&gt;0,Enhancements!$G$20,IF(IFERROR(FIND("Rope",$B35,1),0)&gt;0,Enhancements!#REF!,IF(IFERROR(FIND("Blessings",$B35,1),0)&gt;0,Enhancements!#REF!,IF(IFERROR(FIND("Wood",$B35,1),0)&gt;0,Enhancements!$G$12,IF(IFERROR(FIND("Leather",$B35,1),0)&gt;0,Enhancements!$G$16,IF(IFERROR(FIND("Bone",$B35,1),0)&gt;0,Enhancements!#REF!,IF(IFERROR(FIND("Cloth",$B35,1),0)&gt;0,Enhancements!$G$25,""))))))))</f>
        <v/>
      </c>
      <c r="G35" s="12" t="str">
        <f>IF($B35=0,"",IF(IFERROR(FIND("Metal",$B35,1),0)&gt;0,Enhancements!$G$21,IF(IFERROR(FIND("Rope",$B35,1),0)&gt;0,Enhancements!#REF!,IF(IFERROR(FIND("Blessings",$B35,1),0)&gt;0,Enhancements!#REF!,IF(IFERROR(FIND("Wood",$B35,1),0)&gt;0,Enhancements!$G$13,IF(IFERROR(FIND("Leather",$B35,1),0)&gt;0,Enhancements!$G$17,IF(IFERROR(FIND("Bone",$B35,1),0)&gt;0,Enhancements!#REF!,IF(IFERROR(FIND("Cloth",$B35,1),0)&gt;0,Enhancements!$G$26,""))))))))</f>
        <v/>
      </c>
      <c r="H35" s="12" t="str">
        <f>IF($B35=0,"",IF(IFERROR(FIND("Metal",$B35,1),0)&gt;0,Enhancements!$G$22,IF(IFERROR(FIND("Blessings",$B35,1),0)&gt;0,Enhancements!#REF!,IF(IFERROR(FIND("Wood",$B35,1),0)&gt;0,Enhancements!$G$14,IF(IFERROR(FIND("Leather",$B35,1),0)&gt;0,Enhancements!$G$18,IF(IFERROR(FIND("Bone",$B35,1),0)&gt;0,Enhancements!#REF!,IF(IFERROR(FIND("Cloth",$B35,1),0)&gt;0,Enhancements!$G$27,"")))))))</f>
        <v/>
      </c>
      <c r="I35" s="12"/>
      <c r="Q35" s="2" t="s">
        <v>177</v>
      </c>
      <c r="R35" s="5"/>
      <c r="S35" s="2" t="s">
        <v>187</v>
      </c>
      <c r="T35" s="5" t="s">
        <v>207</v>
      </c>
      <c r="U35" s="5" t="s">
        <v>207</v>
      </c>
      <c r="V35" s="5"/>
      <c r="W35" s="5"/>
      <c r="X35" s="2" t="s">
        <v>687</v>
      </c>
      <c r="Y35" s="5" t="s">
        <v>203</v>
      </c>
      <c r="Z35" s="5" t="e">
        <f>#REF!</f>
        <v>#REF!</v>
      </c>
      <c r="AA35" s="5" t="str">
        <f>IFERROR(HLOOKUP($Z35,Magic_Lores!$A$1:$ES$3,MATCH(Magic_Lores!$A$3,Magic_Lores!$A$1:$A$3,0),FALSE),"")</f>
        <v/>
      </c>
      <c r="AB35" s="5"/>
      <c r="AC35" s="70" t="s">
        <v>441</v>
      </c>
      <c r="AE35" s="46" t="s">
        <v>816</v>
      </c>
    </row>
    <row r="36" spans="1:31" ht="47.25" x14ac:dyDescent="0.25">
      <c r="B36">
        <f>Character_Builder!K27</f>
        <v>0</v>
      </c>
      <c r="E36" s="12" t="str">
        <f>IF($B36=0,"",IF(IFERROR(FIND("Metal",$B36,1),0)&gt;0,Enhancements!$G$19,IF(IFERROR(FIND("Rope",$B36,1),0)&gt;0,Enhancements!#REF!,IF(IFERROR(FIND("Blessings",$B36,1),0)&gt;0,Enhancements!#REF!,IF(IFERROR(FIND("Wood",$B36,1),0)&gt;0,Enhancements!$G$11,IF(IFERROR(FIND("Leather",$B36,1),0)&gt;0,Enhancements!$G$15,IF(IFERROR(FIND("Bone",$B36,1),0)&gt;0,Enhancements!#REF!,IF(IFERROR(FIND("Cloth",$B36,1),0)&gt;0,Enhancements!$G$24,""))))))))</f>
        <v/>
      </c>
      <c r="F36" s="12" t="str">
        <f>IF($B36=0,"",IF(IFERROR(FIND("Metal",$B36,1),0)&gt;0,Enhancements!$G$20,IF(IFERROR(FIND("Rope",$B36,1),0)&gt;0,Enhancements!#REF!,IF(IFERROR(FIND("Blessings",$B36,1),0)&gt;0,Enhancements!#REF!,IF(IFERROR(FIND("Wood",$B36,1),0)&gt;0,Enhancements!$G$12,IF(IFERROR(FIND("Leather",$B36,1),0)&gt;0,Enhancements!$G$16,IF(IFERROR(FIND("Bone",$B36,1),0)&gt;0,Enhancements!#REF!,IF(IFERROR(FIND("Cloth",$B36,1),0)&gt;0,Enhancements!$G$25,""))))))))</f>
        <v/>
      </c>
      <c r="G36" s="12" t="str">
        <f>IF($B36=0,"",IF(IFERROR(FIND("Metal",$B36,1),0)&gt;0,Enhancements!$G$21,IF(IFERROR(FIND("Rope",$B36,1),0)&gt;0,Enhancements!#REF!,IF(IFERROR(FIND("Blessings",$B36,1),0)&gt;0,Enhancements!#REF!,IF(IFERROR(FIND("Wood",$B36,1),0)&gt;0,Enhancements!$G$13,IF(IFERROR(FIND("Leather",$B36,1),0)&gt;0,Enhancements!$G$17,IF(IFERROR(FIND("Bone",$B36,1),0)&gt;0,Enhancements!#REF!,IF(IFERROR(FIND("Cloth",$B36,1),0)&gt;0,Enhancements!$G$26,""))))))))</f>
        <v/>
      </c>
      <c r="H36" s="12" t="str">
        <f>IF($B36=0,"",IF(IFERROR(FIND("Metal",$B36,1),0)&gt;0,Enhancements!$G$22,IF(IFERROR(FIND("Blessings",$B36,1),0)&gt;0,Enhancements!#REF!,IF(IFERROR(FIND("Wood",$B36,1),0)&gt;0,Enhancements!$G$14,IF(IFERROR(FIND("Leather",$B36,1),0)&gt;0,Enhancements!$G$18,IF(IFERROR(FIND("Bone",$B36,1),0)&gt;0,Enhancements!#REF!,IF(IFERROR(FIND("Cloth",$B36,1),0)&gt;0,Enhancements!$G$27,"")))))))</f>
        <v/>
      </c>
      <c r="I36" s="12"/>
      <c r="Q36" s="2" t="s">
        <v>174</v>
      </c>
      <c r="R36" s="5"/>
      <c r="S36" s="2" t="s">
        <v>189</v>
      </c>
      <c r="T36" s="5" t="s">
        <v>206</v>
      </c>
      <c r="U36" s="5" t="s">
        <v>206</v>
      </c>
      <c r="V36" s="5"/>
      <c r="W36" s="5"/>
      <c r="X36" s="2" t="s">
        <v>686</v>
      </c>
      <c r="Y36" s="5" t="s">
        <v>202</v>
      </c>
      <c r="Z36" s="5" t="e">
        <f>#REF!</f>
        <v>#REF!</v>
      </c>
      <c r="AA36" s="5" t="str">
        <f>IFERROR(HLOOKUP($Z36,Magic_Lores!$A$1:$ES$3,MATCH(Magic_Lores!$A$3,Magic_Lores!$A$1:$A$3,0),FALSE),"")</f>
        <v/>
      </c>
      <c r="AB36" s="5"/>
      <c r="AC36" s="70" t="s">
        <v>993</v>
      </c>
      <c r="AE36" s="46" t="s">
        <v>817</v>
      </c>
    </row>
    <row r="37" spans="1:31" ht="63" x14ac:dyDescent="0.25">
      <c r="B37">
        <f>Character_Builder!K28</f>
        <v>0</v>
      </c>
      <c r="E37" s="12" t="str">
        <f>IF($B37=0,"",IF(IFERROR(FIND("Metal",$B37,1),0)&gt;0,Enhancements!$G$19,IF(IFERROR(FIND("Rope",$B37,1),0)&gt;0,Enhancements!#REF!,IF(IFERROR(FIND("Blessings",$B37,1),0)&gt;0,Enhancements!#REF!,IF(IFERROR(FIND("Wood",$B37,1),0)&gt;0,Enhancements!$G$11,IF(IFERROR(FIND("Leather",$B37,1),0)&gt;0,Enhancements!$G$15,IF(IFERROR(FIND("Bone",$B37,1),0)&gt;0,Enhancements!#REF!,IF(IFERROR(FIND("Cloth",$B37,1),0)&gt;0,Enhancements!$G$24,""))))))))</f>
        <v/>
      </c>
      <c r="F37" s="12" t="str">
        <f>IF($B37=0,"",IF(IFERROR(FIND("Metal",$B37,1),0)&gt;0,Enhancements!$G$20,IF(IFERROR(FIND("Rope",$B37,1),0)&gt;0,Enhancements!#REF!,IF(IFERROR(FIND("Blessings",$B37,1),0)&gt;0,Enhancements!#REF!,IF(IFERROR(FIND("Wood",$B37,1),0)&gt;0,Enhancements!$G$12,IF(IFERROR(FIND("Leather",$B37,1),0)&gt;0,Enhancements!$G$16,IF(IFERROR(FIND("Bone",$B37,1),0)&gt;0,Enhancements!#REF!,IF(IFERROR(FIND("Cloth",$B37,1),0)&gt;0,Enhancements!$G$25,""))))))))</f>
        <v/>
      </c>
      <c r="G37" s="12" t="str">
        <f>IF($B37=0,"",IF(IFERROR(FIND("Metal",$B37,1),0)&gt;0,Enhancements!$G$21,IF(IFERROR(FIND("Rope",$B37,1),0)&gt;0,Enhancements!#REF!,IF(IFERROR(FIND("Blessings",$B37,1),0)&gt;0,Enhancements!#REF!,IF(IFERROR(FIND("Wood",$B37,1),0)&gt;0,Enhancements!$G$13,IF(IFERROR(FIND("Leather",$B37,1),0)&gt;0,Enhancements!$G$17,IF(IFERROR(FIND("Bone",$B37,1),0)&gt;0,Enhancements!#REF!,IF(IFERROR(FIND("Cloth",$B37,1),0)&gt;0,Enhancements!$G$26,""))))))))</f>
        <v/>
      </c>
      <c r="H37" s="12" t="str">
        <f>IF($B37=0,"",IF(IFERROR(FIND("Metal",$B37,1),0)&gt;0,Enhancements!$G$22,IF(IFERROR(FIND("Blessings",$B37,1),0)&gt;0,Enhancements!#REF!,IF(IFERROR(FIND("Wood",$B37,1),0)&gt;0,Enhancements!$G$14,IF(IFERROR(FIND("Leather",$B37,1),0)&gt;0,Enhancements!$G$18,IF(IFERROR(FIND("Bone",$B37,1),0)&gt;0,Enhancements!#REF!,IF(IFERROR(FIND("Cloth",$B37,1),0)&gt;0,Enhancements!$G$27,"")))))))</f>
        <v/>
      </c>
      <c r="I37" s="12"/>
      <c r="Q37" s="2" t="s">
        <v>182</v>
      </c>
      <c r="R37" s="5"/>
      <c r="S37" s="2" t="s">
        <v>188</v>
      </c>
      <c r="T37" s="51"/>
      <c r="U37" s="51"/>
      <c r="V37" s="5"/>
      <c r="W37" s="5"/>
      <c r="X37" s="2" t="s">
        <v>684</v>
      </c>
      <c r="Y37" s="5" t="s">
        <v>205</v>
      </c>
      <c r="Z37" s="5" t="e">
        <f>#REF!</f>
        <v>#REF!</v>
      </c>
      <c r="AA37" s="5" t="str">
        <f>IFERROR(HLOOKUP($Z37,Magic_Lores!$A$1:$ES$3,MATCH(Magic_Lores!$A$3,Magic_Lores!$A$1:$A$3,0),FALSE),"")</f>
        <v/>
      </c>
      <c r="AB37" s="5"/>
      <c r="AC37" s="70" t="s">
        <v>999</v>
      </c>
      <c r="AE37" s="46" t="s">
        <v>427</v>
      </c>
    </row>
    <row r="38" spans="1:31" ht="47.25" x14ac:dyDescent="0.25">
      <c r="A38" s="10" t="s">
        <v>368</v>
      </c>
      <c r="B38">
        <f>Character_Builder!H5</f>
        <v>0</v>
      </c>
      <c r="Q38" s="2" t="s">
        <v>180</v>
      </c>
      <c r="R38" s="5"/>
      <c r="S38" s="2" t="s">
        <v>186</v>
      </c>
      <c r="T38" s="5" t="s">
        <v>735</v>
      </c>
      <c r="U38" s="5" t="s">
        <v>735</v>
      </c>
      <c r="V38" s="5"/>
      <c r="W38" s="5"/>
      <c r="X38" s="2" t="s">
        <v>203</v>
      </c>
      <c r="Y38" s="2"/>
      <c r="Z38" s="5" t="e">
        <f>#REF!</f>
        <v>#REF!</v>
      </c>
      <c r="AA38" s="5" t="str">
        <f>IFERROR(HLOOKUP($Z38,Magic_Lores!$A$1:$ES$3,MATCH(Magic_Lores!$A$3,Magic_Lores!$A$1:$A$3,0),FALSE),"")</f>
        <v/>
      </c>
      <c r="AB38" s="5"/>
      <c r="AC38" s="70" t="s">
        <v>997</v>
      </c>
      <c r="AE38" s="46" t="s">
        <v>428</v>
      </c>
    </row>
    <row r="39" spans="1:31" ht="47.25" x14ac:dyDescent="0.25">
      <c r="B39">
        <f>Character_Builder!H6</f>
        <v>0</v>
      </c>
      <c r="Q39" s="2" t="s">
        <v>185</v>
      </c>
      <c r="R39" s="5"/>
      <c r="S39" s="2" t="s">
        <v>190</v>
      </c>
      <c r="T39" s="5" t="s">
        <v>219</v>
      </c>
      <c r="U39" s="5" t="s">
        <v>219</v>
      </c>
      <c r="V39" s="5"/>
      <c r="W39" s="5"/>
      <c r="X39" s="2" t="s">
        <v>199</v>
      </c>
      <c r="Y39" s="5" t="s">
        <v>736</v>
      </c>
      <c r="Z39" s="5" t="e">
        <f>#REF!</f>
        <v>#REF!</v>
      </c>
      <c r="AA39" s="5" t="str">
        <f>IFERROR(HLOOKUP($Z39,Magic_Lores!$A$1:$ES$3,MATCH(Magic_Lores!$A$3,Magic_Lores!$A$1:$A$3,0),FALSE),"")</f>
        <v/>
      </c>
      <c r="AB39" s="5"/>
      <c r="AC39" s="70" t="s">
        <v>989</v>
      </c>
      <c r="AE39" s="46" t="s">
        <v>827</v>
      </c>
    </row>
    <row r="40" spans="1:31" ht="31.5" x14ac:dyDescent="0.25">
      <c r="A40" t="s">
        <v>3</v>
      </c>
      <c r="B40" t="e">
        <f>HLOOKUP(Character_Data!$E$1,Character_Data!$A:$H,MATCH($B$38&amp;$A40,Character_Data!$H:$H,0),FALSE)</f>
        <v>#N/A</v>
      </c>
      <c r="C40" t="e">
        <f>HLOOKUP(Character_Data!$D$1,Character_Data!$A:$H,MATCH($B$38&amp;$A40,Character_Data!$H:$H,0),FALSE)*3</f>
        <v>#N/A</v>
      </c>
      <c r="Q40" s="2" t="s">
        <v>184</v>
      </c>
      <c r="R40" s="5"/>
      <c r="S40" s="2" t="s">
        <v>193</v>
      </c>
      <c r="T40" s="5" t="s">
        <v>216</v>
      </c>
      <c r="U40" s="5" t="s">
        <v>216</v>
      </c>
      <c r="V40" s="5"/>
      <c r="W40" s="5"/>
      <c r="X40" s="2" t="s">
        <v>200</v>
      </c>
      <c r="Y40" s="5" t="s">
        <v>213</v>
      </c>
      <c r="Z40" s="5" t="e">
        <f>#REF!</f>
        <v>#REF!</v>
      </c>
      <c r="AA40" s="5" t="str">
        <f>IFERROR(HLOOKUP($Z40,Magic_Lores!$A$1:$ES$3,MATCH(Magic_Lores!$A$3,Magic_Lores!$A$1:$A$3,0),FALSE),"")</f>
        <v/>
      </c>
      <c r="AB40" s="5"/>
      <c r="AC40" s="70" t="s">
        <v>998</v>
      </c>
      <c r="AE40" s="46" t="s">
        <v>828</v>
      </c>
    </row>
    <row r="41" spans="1:31" ht="47.25" x14ac:dyDescent="0.25">
      <c r="A41" t="s">
        <v>4</v>
      </c>
      <c r="B41" t="e">
        <f>HLOOKUP(Character_Data!$E$1,Character_Data!$A:$H,MATCH($B$38&amp;$A41,Character_Data!$H:$H,0),FALSE)</f>
        <v>#N/A</v>
      </c>
      <c r="C41" t="e">
        <f>HLOOKUP(Character_Data!$D$1,Character_Data!$A:$H,MATCH($B$38&amp;$A41,Character_Data!$H:$H,0),FALSE)*3</f>
        <v>#N/A</v>
      </c>
      <c r="Q41" s="2" t="s">
        <v>181</v>
      </c>
      <c r="R41" s="5"/>
      <c r="S41" s="2"/>
      <c r="T41" s="5" t="s">
        <v>217</v>
      </c>
      <c r="U41" s="5" t="s">
        <v>217</v>
      </c>
      <c r="V41" s="5"/>
      <c r="W41" s="5"/>
      <c r="X41" s="2" t="s">
        <v>201</v>
      </c>
      <c r="Y41" s="5" t="s">
        <v>695</v>
      </c>
      <c r="Z41" s="5" t="e">
        <f>#REF!</f>
        <v>#REF!</v>
      </c>
      <c r="AA41" s="5" t="str">
        <f>IFERROR(HLOOKUP($Z41,Magic_Lores!$A$1:$ES$3,MATCH(Magic_Lores!$A$3,Magic_Lores!$A$1:$A$3,0),FALSE),"")</f>
        <v/>
      </c>
      <c r="AB41" s="5"/>
      <c r="AC41" s="70" t="s">
        <v>439</v>
      </c>
      <c r="AE41" s="46" t="s">
        <v>825</v>
      </c>
    </row>
    <row r="42" spans="1:31" ht="47.25" x14ac:dyDescent="0.25">
      <c r="A42" t="s">
        <v>5</v>
      </c>
      <c r="B42" t="e">
        <f>HLOOKUP(Character_Data!$E$1,Character_Data!$A:$H,MATCH($B$38&amp;$A42,Character_Data!$H:$H,0),FALSE)</f>
        <v>#N/A</v>
      </c>
      <c r="C42" t="e">
        <f>HLOOKUP(Character_Data!$D$1,Character_Data!$A:$H,MATCH($B$38&amp;$A42,Character_Data!$H:$H,0),FALSE)*3</f>
        <v>#N/A</v>
      </c>
      <c r="Q42" s="2" t="s">
        <v>176</v>
      </c>
      <c r="R42" s="5"/>
      <c r="S42" s="80" t="s">
        <v>737</v>
      </c>
      <c r="T42" s="5" t="s">
        <v>218</v>
      </c>
      <c r="U42" s="5" t="s">
        <v>218</v>
      </c>
      <c r="V42" s="5"/>
      <c r="W42" s="5"/>
      <c r="X42" s="2" t="s">
        <v>202</v>
      </c>
      <c r="Y42" s="5" t="s">
        <v>212</v>
      </c>
      <c r="Z42" s="5" t="e">
        <f>#REF!</f>
        <v>#REF!</v>
      </c>
      <c r="AA42" s="5" t="str">
        <f>IFERROR(HLOOKUP($Z42,Magic_Lores!$A$1:$ES$3,MATCH(Magic_Lores!$A$3,Magic_Lores!$A$1:$A$3,0),FALSE),"")</f>
        <v/>
      </c>
      <c r="AB42" s="5"/>
      <c r="AC42" s="70" t="s">
        <v>440</v>
      </c>
      <c r="AE42" s="46" t="s">
        <v>826</v>
      </c>
    </row>
    <row r="43" spans="1:31" ht="31.5" x14ac:dyDescent="0.25">
      <c r="A43" t="s">
        <v>6</v>
      </c>
      <c r="B43" t="e">
        <f>HLOOKUP(Character_Data!$E$1,Character_Data!$A:$H,MATCH($B$38&amp;$A43,Character_Data!$H:$H,0),FALSE)</f>
        <v>#N/A</v>
      </c>
      <c r="C43" t="e">
        <f>HLOOKUP(Character_Data!$D$1,Character_Data!$A:$H,MATCH($B$38&amp;$A43,Character_Data!$H:$H,0),FALSE)*3</f>
        <v>#N/A</v>
      </c>
      <c r="Q43" s="2"/>
      <c r="R43" s="5"/>
      <c r="S43" s="2" t="s">
        <v>685</v>
      </c>
      <c r="T43" s="5"/>
      <c r="U43" s="5"/>
      <c r="V43" s="5"/>
      <c r="W43" s="5"/>
      <c r="X43" s="2" t="s">
        <v>205</v>
      </c>
      <c r="Y43" s="5" t="s">
        <v>210</v>
      </c>
      <c r="Z43" s="5" t="e">
        <f>#REF!</f>
        <v>#REF!</v>
      </c>
      <c r="AA43" s="5" t="str">
        <f>IFERROR(HLOOKUP($Z43,Magic_Lores!$A$1:$ES$3,MATCH(Magic_Lores!$A$3,Magic_Lores!$A$1:$A$3,0),FALSE),"")</f>
        <v/>
      </c>
      <c r="AB43" s="5"/>
      <c r="AC43" s="70" t="s">
        <v>990</v>
      </c>
      <c r="AE43" s="46" t="s">
        <v>387</v>
      </c>
    </row>
    <row r="44" spans="1:31" ht="47.25" x14ac:dyDescent="0.25">
      <c r="Q44" s="71" t="s">
        <v>738</v>
      </c>
      <c r="R44" s="5"/>
      <c r="S44" s="2" t="s">
        <v>688</v>
      </c>
      <c r="T44" s="5" t="s">
        <v>734</v>
      </c>
      <c r="U44" s="5" t="s">
        <v>734</v>
      </c>
      <c r="V44" s="5"/>
      <c r="W44" s="5"/>
      <c r="X44" s="2" t="s">
        <v>198</v>
      </c>
      <c r="Y44" s="5" t="s">
        <v>694</v>
      </c>
      <c r="Z44" s="5" t="e">
        <f>#REF!</f>
        <v>#REF!</v>
      </c>
      <c r="AA44" s="5" t="str">
        <f>IFERROR(HLOOKUP($Z44,Magic_Lores!$A$1:$ES$3,MATCH(Magic_Lores!$A$3,Magic_Lores!$A$1:$A$3,0),FALSE),"")</f>
        <v/>
      </c>
      <c r="AB44" s="5"/>
      <c r="AC44" s="70" t="s">
        <v>446</v>
      </c>
      <c r="AE44" s="46" t="s">
        <v>712</v>
      </c>
    </row>
    <row r="45" spans="1:31" ht="31.5" x14ac:dyDescent="0.25">
      <c r="A45" s="10" t="s">
        <v>365</v>
      </c>
      <c r="B45">
        <f>Character_Builder!T15</f>
        <v>0</v>
      </c>
      <c r="Q45" s="2" t="s">
        <v>191</v>
      </c>
      <c r="R45" s="5"/>
      <c r="S45" s="2" t="s">
        <v>687</v>
      </c>
      <c r="T45" s="5" t="s">
        <v>311</v>
      </c>
      <c r="U45" s="5" t="s">
        <v>311</v>
      </c>
      <c r="V45" s="5"/>
      <c r="W45" s="5"/>
      <c r="X45" s="2"/>
      <c r="Y45" s="5" t="s">
        <v>211</v>
      </c>
      <c r="Z45" s="5" t="e">
        <f>#REF!</f>
        <v>#REF!</v>
      </c>
      <c r="AA45" s="5" t="str">
        <f>IFERROR(HLOOKUP($Z45,Magic_Lores!$A$1:$ES$3,MATCH(Magic_Lores!$A$3,Magic_Lores!$A$1:$A$3,0),FALSE),"")</f>
        <v/>
      </c>
      <c r="AB45" s="5"/>
      <c r="AC45" s="70" t="s">
        <v>995</v>
      </c>
      <c r="AE45" s="46" t="s">
        <v>425</v>
      </c>
    </row>
    <row r="46" spans="1:31" ht="31.5" x14ac:dyDescent="0.25">
      <c r="A46" s="10"/>
      <c r="B46">
        <f>Character_Builder!T16</f>
        <v>0</v>
      </c>
      <c r="Q46" s="2" t="s">
        <v>192</v>
      </c>
      <c r="R46" s="5"/>
      <c r="S46" s="2" t="s">
        <v>686</v>
      </c>
      <c r="T46" s="5" t="s">
        <v>308</v>
      </c>
      <c r="U46" s="5" t="s">
        <v>308</v>
      </c>
      <c r="V46" s="5"/>
      <c r="W46" s="5"/>
      <c r="X46" s="80" t="s">
        <v>736</v>
      </c>
      <c r="Y46" s="51"/>
      <c r="Z46" s="5" t="e">
        <f>#REF!</f>
        <v>#REF!</v>
      </c>
      <c r="AA46" s="5" t="str">
        <f>IFERROR(HLOOKUP($Z46,Magic_Lores!$A$1:$ES$3,MATCH(Magic_Lores!$A$3,Magic_Lores!$A$1:$A$3,0),FALSE),"")</f>
        <v/>
      </c>
      <c r="AB46" s="5"/>
      <c r="AC46" s="70" t="s">
        <v>66</v>
      </c>
      <c r="AE46" s="46" t="s">
        <v>426</v>
      </c>
    </row>
    <row r="47" spans="1:31" ht="47.25" x14ac:dyDescent="0.25">
      <c r="B47">
        <f>Character_Builder!T17</f>
        <v>0</v>
      </c>
      <c r="Q47" s="2" t="s">
        <v>490</v>
      </c>
      <c r="R47" s="5"/>
      <c r="S47" s="2" t="s">
        <v>684</v>
      </c>
      <c r="T47" s="5" t="s">
        <v>310</v>
      </c>
      <c r="U47" s="5" t="s">
        <v>310</v>
      </c>
      <c r="V47" s="5"/>
      <c r="W47" s="5"/>
      <c r="X47" s="2" t="s">
        <v>208</v>
      </c>
      <c r="Y47" s="5" t="s">
        <v>735</v>
      </c>
      <c r="Z47" s="5" t="e">
        <f>#REF!</f>
        <v>#REF!</v>
      </c>
      <c r="AA47" s="5" t="str">
        <f>IFERROR(HLOOKUP($Z47,Magic_Lores!$A$1:$ES$3,MATCH(Magic_Lores!$A$3,Magic_Lores!$A$1:$A$3,0),FALSE),"")</f>
        <v/>
      </c>
      <c r="AB47" s="5"/>
      <c r="AC47" s="70" t="s">
        <v>404</v>
      </c>
      <c r="AE47" s="46" t="s">
        <v>823</v>
      </c>
    </row>
    <row r="48" spans="1:31" ht="47.25" x14ac:dyDescent="0.25">
      <c r="B48">
        <f>Character_Builder!T18</f>
        <v>0</v>
      </c>
      <c r="Q48" s="2" t="s">
        <v>187</v>
      </c>
      <c r="R48" s="5"/>
      <c r="S48" s="2" t="s">
        <v>203</v>
      </c>
      <c r="T48" s="5" t="s">
        <v>309</v>
      </c>
      <c r="U48" s="5" t="s">
        <v>309</v>
      </c>
      <c r="V48" s="5"/>
      <c r="W48" s="5"/>
      <c r="X48" s="2" t="s">
        <v>209</v>
      </c>
      <c r="Y48" s="5" t="s">
        <v>585</v>
      </c>
      <c r="Z48" s="5" t="e">
        <f>#REF!</f>
        <v>#REF!</v>
      </c>
      <c r="AA48" s="5" t="str">
        <f>IFERROR(HLOOKUP($Z48,Magic_Lores!$A$1:$ES$3,MATCH(Magic_Lores!$A$3,Magic_Lores!$A$1:$A$3,0),FALSE),"")</f>
        <v/>
      </c>
      <c r="AB48" s="5"/>
      <c r="AC48" s="70" t="s">
        <v>859</v>
      </c>
      <c r="AE48" s="46" t="s">
        <v>824</v>
      </c>
    </row>
    <row r="49" spans="2:31" ht="31.5" x14ac:dyDescent="0.25">
      <c r="B49">
        <f>Character_Builder!T19</f>
        <v>0</v>
      </c>
      <c r="Q49" s="2" t="s">
        <v>195</v>
      </c>
      <c r="R49" s="5"/>
      <c r="S49" s="2" t="s">
        <v>199</v>
      </c>
      <c r="T49" s="5"/>
      <c r="U49" s="5"/>
      <c r="V49" s="5"/>
      <c r="W49" s="5"/>
      <c r="X49" s="2" t="s">
        <v>212</v>
      </c>
      <c r="Y49" s="5" t="s">
        <v>221</v>
      </c>
      <c r="Z49" s="5" t="e">
        <f>#REF!</f>
        <v>#REF!</v>
      </c>
      <c r="AA49" s="5" t="str">
        <f>IFERROR(HLOOKUP($Z49,Magic_Lores!$A$1:$ES$3,MATCH(Magic_Lores!$A$3,Magic_Lores!$A$1:$A$3,0),FALSE),"")</f>
        <v/>
      </c>
      <c r="AB49" s="5"/>
      <c r="AC49" s="70" t="s">
        <v>65</v>
      </c>
      <c r="AE49" s="46" t="s">
        <v>388</v>
      </c>
    </row>
    <row r="50" spans="2:31" ht="63" x14ac:dyDescent="0.25">
      <c r="B50">
        <f>Character_Builder!T20</f>
        <v>0</v>
      </c>
      <c r="Q50" s="2" t="s">
        <v>189</v>
      </c>
      <c r="R50" s="5"/>
      <c r="S50" s="2" t="s">
        <v>200</v>
      </c>
      <c r="T50" s="5" t="s">
        <v>733</v>
      </c>
      <c r="U50" s="5" t="s">
        <v>729</v>
      </c>
      <c r="V50" s="5"/>
      <c r="W50" s="5"/>
      <c r="X50" s="2" t="s">
        <v>210</v>
      </c>
      <c r="Y50" s="5" t="s">
        <v>220</v>
      </c>
      <c r="Z50" s="5" t="e">
        <f>#REF!</f>
        <v>#REF!</v>
      </c>
      <c r="AA50" s="5" t="str">
        <f>IFERROR(HLOOKUP($Z50,Magic_Lores!$A$1:$ES$3,MATCH(Magic_Lores!$A$3,Magic_Lores!$A$1:$A$3,0),FALSE),"")</f>
        <v/>
      </c>
      <c r="AB50" s="5"/>
      <c r="AC50" s="70" t="s">
        <v>45</v>
      </c>
      <c r="AE50" s="46" t="s">
        <v>389</v>
      </c>
    </row>
    <row r="51" spans="2:31" ht="31.5" x14ac:dyDescent="0.25">
      <c r="B51">
        <f>Character_Builder!T21</f>
        <v>0</v>
      </c>
      <c r="Q51" s="2" t="s">
        <v>194</v>
      </c>
      <c r="R51" s="5"/>
      <c r="S51" s="2" t="s">
        <v>201</v>
      </c>
      <c r="T51" s="5" t="s">
        <v>492</v>
      </c>
      <c r="U51" s="5" t="s">
        <v>596</v>
      </c>
      <c r="V51" s="5"/>
      <c r="W51" s="5"/>
      <c r="X51" s="2" t="s">
        <v>207</v>
      </c>
      <c r="Y51" s="5" t="s">
        <v>584</v>
      </c>
      <c r="Z51" s="5" t="e">
        <f>#REF!</f>
        <v>#REF!</v>
      </c>
      <c r="AA51" s="5" t="str">
        <f>IFERROR(HLOOKUP($Z51,Magic_Lores!$A$1:$ES$3,MATCH(Magic_Lores!$A$3,Magic_Lores!$A$1:$A$3,0),FALSE),"")</f>
        <v/>
      </c>
      <c r="AB51" s="5"/>
      <c r="AC51" s="70" t="s">
        <v>67</v>
      </c>
      <c r="AE51" s="46" t="s">
        <v>390</v>
      </c>
    </row>
    <row r="52" spans="2:31" ht="31.5" x14ac:dyDescent="0.25">
      <c r="B52">
        <f>Character_Builder!T22</f>
        <v>0</v>
      </c>
      <c r="Q52" s="2" t="s">
        <v>188</v>
      </c>
      <c r="R52" s="5"/>
      <c r="S52" s="2" t="s">
        <v>202</v>
      </c>
      <c r="T52" s="5" t="s">
        <v>493</v>
      </c>
      <c r="U52" s="5" t="s">
        <v>595</v>
      </c>
      <c r="V52" s="5"/>
      <c r="W52" s="5"/>
      <c r="X52" s="2" t="s">
        <v>694</v>
      </c>
      <c r="Y52" s="51"/>
      <c r="Z52" s="5" t="e">
        <f>#REF!</f>
        <v>#REF!</v>
      </c>
      <c r="AA52" s="5" t="str">
        <f>IFERROR(HLOOKUP($Z52,Magic_Lores!$A$1:$ES$3,MATCH(Magic_Lores!$A$3,Magic_Lores!$A$1:$A$3,0),FALSE),"")</f>
        <v/>
      </c>
      <c r="AB52" s="5"/>
      <c r="AC52" s="70" t="s">
        <v>347</v>
      </c>
      <c r="AE52" s="46" t="s">
        <v>713</v>
      </c>
    </row>
    <row r="53" spans="2:31" ht="47.25" x14ac:dyDescent="0.25">
      <c r="B53">
        <f>Character_Builder!T23</f>
        <v>0</v>
      </c>
      <c r="Q53" s="2" t="s">
        <v>186</v>
      </c>
      <c r="R53" s="5"/>
      <c r="S53" s="2" t="s">
        <v>205</v>
      </c>
      <c r="T53" s="5" t="s">
        <v>495</v>
      </c>
      <c r="U53" s="5" t="s">
        <v>597</v>
      </c>
      <c r="V53" s="5"/>
      <c r="W53" s="5"/>
      <c r="X53" s="2" t="s">
        <v>211</v>
      </c>
      <c r="Y53" s="5" t="s">
        <v>734</v>
      </c>
      <c r="Z53" s="5" t="e">
        <f>#REF!</f>
        <v>#REF!</v>
      </c>
      <c r="AA53" s="5" t="str">
        <f>IFERROR(HLOOKUP($Z53,Magic_Lores!$A$1:$ES$3,MATCH(Magic_Lores!$A$3,Magic_Lores!$A$1:$A$3,0),FALSE),"")</f>
        <v/>
      </c>
      <c r="AB53" s="5"/>
      <c r="AC53" s="70" t="s">
        <v>63</v>
      </c>
      <c r="AE53" s="46" t="s">
        <v>391</v>
      </c>
    </row>
    <row r="54" spans="2:31" ht="47.25" x14ac:dyDescent="0.25">
      <c r="B54">
        <f>Character_Builder!T24</f>
        <v>0</v>
      </c>
      <c r="K54" s="12" t="str">
        <f>IF(IFERROR(FIND("Metal+Wood",#REF!,1),0)&gt;0,Enhancements!$G$7,"")</f>
        <v/>
      </c>
      <c r="L54" s="12" t="str">
        <f>IF(IFERROR(FIND("Metal+Wood",#REF!,1),0)&gt;0,Enhancements!$G$8,"")</f>
        <v/>
      </c>
      <c r="M54" s="12" t="str">
        <f>IF(IFERROR(FIND("Metal+Wood",#REF!,1),0)&gt;0,Enhancements!$G$9,"")</f>
        <v/>
      </c>
      <c r="N54" s="12" t="str">
        <f>IF(IFERROR(FIND("Metal+Wood",#REF!,1),0)&gt;0,Enhancements!$G$10,"")</f>
        <v/>
      </c>
      <c r="O54" s="12"/>
      <c r="Q54" s="2" t="s">
        <v>197</v>
      </c>
      <c r="R54" s="5"/>
      <c r="S54" s="2" t="s">
        <v>198</v>
      </c>
      <c r="T54" s="5" t="s">
        <v>494</v>
      </c>
      <c r="U54" s="5" t="s">
        <v>594</v>
      </c>
      <c r="V54" s="5"/>
      <c r="W54" s="5"/>
      <c r="X54" s="2" t="s">
        <v>206</v>
      </c>
      <c r="Y54" s="5" t="s">
        <v>313</v>
      </c>
      <c r="Z54" s="5" t="e">
        <f>#REF!</f>
        <v>#REF!</v>
      </c>
      <c r="AA54" s="5" t="str">
        <f>IFERROR(HLOOKUP($Z54,Magic_Lores!$A$1:$ES$3,MATCH(Magic_Lores!$A$3,Magic_Lores!$A$1:$A$3,0),FALSE),"")</f>
        <v/>
      </c>
      <c r="AB54" s="5"/>
      <c r="AC54" s="70" t="s">
        <v>56</v>
      </c>
      <c r="AE54" s="46" t="s">
        <v>706</v>
      </c>
    </row>
    <row r="55" spans="2:31" ht="47.25" x14ac:dyDescent="0.25">
      <c r="B55">
        <f>Character_Builder!T25</f>
        <v>0</v>
      </c>
      <c r="K55" s="12" t="str">
        <f>IF(IFERROR(FIND("Metal+Wood",#REF!,1),0)&gt;0,Enhancements!$G$7,"")</f>
        <v/>
      </c>
      <c r="L55" s="12" t="str">
        <f>IF(IFERROR(FIND("Metal+Wood",#REF!,1),0)&gt;0,Enhancements!$G$8,"")</f>
        <v/>
      </c>
      <c r="M55" s="12" t="str">
        <f>IF(IFERROR(FIND("Metal+Wood",#REF!,1),0)&gt;0,Enhancements!$G$9,"")</f>
        <v/>
      </c>
      <c r="N55" s="12" t="str">
        <f>IF(IFERROR(FIND("Metal+Wood",#REF!,1),0)&gt;0,Enhancements!$G$10,"")</f>
        <v/>
      </c>
      <c r="O55" s="12"/>
      <c r="Q55" s="2" t="s">
        <v>190</v>
      </c>
      <c r="R55" s="5"/>
      <c r="S55" s="2"/>
      <c r="T55" s="5"/>
      <c r="U55" s="5"/>
      <c r="V55" s="5"/>
      <c r="W55" s="5"/>
      <c r="X55" s="2"/>
      <c r="Y55" s="5" t="s">
        <v>364</v>
      </c>
      <c r="Z55" s="5" t="e">
        <f>#REF!</f>
        <v>#REF!</v>
      </c>
      <c r="AA55" s="5" t="str">
        <f>IFERROR(HLOOKUP($Z55,Magic_Lores!$A$1:$ES$3,MATCH(Magic_Lores!$A$3,Magic_Lores!$A$1:$A$3,0),FALSE),"")</f>
        <v/>
      </c>
      <c r="AB55" s="5"/>
      <c r="AC55" s="70" t="s">
        <v>48</v>
      </c>
      <c r="AE55" s="46" t="s">
        <v>707</v>
      </c>
    </row>
    <row r="56" spans="2:31" ht="63" x14ac:dyDescent="0.25">
      <c r="B56">
        <f>Character_Builder!T26</f>
        <v>0</v>
      </c>
      <c r="K56" s="12" t="str">
        <f>IF(IFERROR(FIND("Metal+Wood",#REF!,1),0)&gt;0,Enhancements!$G$7,"")</f>
        <v/>
      </c>
      <c r="L56" s="12" t="str">
        <f>IF(IFERROR(FIND("Metal+Wood",#REF!,1),0)&gt;0,Enhancements!$G$8,"")</f>
        <v/>
      </c>
      <c r="M56" s="12" t="str">
        <f>IF(IFERROR(FIND("Metal+Wood",#REF!,1),0)&gt;0,Enhancements!$G$9,"")</f>
        <v/>
      </c>
      <c r="N56" s="12" t="str">
        <f>IF(IFERROR(FIND("Metal+Wood",#REF!,1),0)&gt;0,Enhancements!$G$10,"")</f>
        <v/>
      </c>
      <c r="O56" s="12"/>
      <c r="Q56" s="2" t="s">
        <v>193</v>
      </c>
      <c r="R56" s="5"/>
      <c r="S56" s="80" t="s">
        <v>736</v>
      </c>
      <c r="T56" s="5" t="s">
        <v>732</v>
      </c>
      <c r="U56" s="5" t="s">
        <v>728</v>
      </c>
      <c r="V56" s="5"/>
      <c r="W56" s="5"/>
      <c r="X56" s="80" t="s">
        <v>735</v>
      </c>
      <c r="Y56" s="5" t="s">
        <v>312</v>
      </c>
      <c r="Z56" s="5" t="e">
        <f>#REF!</f>
        <v>#REF!</v>
      </c>
      <c r="AA56" s="5" t="str">
        <f>IFERROR(HLOOKUP($Z56,Magic_Lores!$A$1:$ES$3,MATCH(Magic_Lores!$A$3,Magic_Lores!$A$1:$A$3,0),FALSE),"")</f>
        <v/>
      </c>
      <c r="AB56" s="5"/>
      <c r="AC56" s="70" t="s">
        <v>46</v>
      </c>
      <c r="AE56" s="46" t="s">
        <v>658</v>
      </c>
    </row>
    <row r="57" spans="2:31" ht="47.25" x14ac:dyDescent="0.25">
      <c r="B57">
        <f>Character_Builder!T27</f>
        <v>0</v>
      </c>
      <c r="K57" s="12" t="str">
        <f>IF(IFERROR(FIND("Metal+Wood",#REF!,1),0)&gt;0,Enhancements!$G$7,"")</f>
        <v/>
      </c>
      <c r="L57" s="12" t="str">
        <f>IF(IFERROR(FIND("Metal+Wood",#REF!,1),0)&gt;0,Enhancements!$G$8,"")</f>
        <v/>
      </c>
      <c r="M57" s="12" t="str">
        <f>IF(IFERROR(FIND("Metal+Wood",#REF!,1),0)&gt;0,Enhancements!$G$9,"")</f>
        <v/>
      </c>
      <c r="N57" s="12" t="str">
        <f>IF(IFERROR(FIND("Metal+Wood",#REF!,1),0)&gt;0,Enhancements!$G$10,"")</f>
        <v/>
      </c>
      <c r="O57" s="12"/>
      <c r="Q57" s="2"/>
      <c r="R57" s="5"/>
      <c r="S57" s="2" t="s">
        <v>208</v>
      </c>
      <c r="T57" s="5" t="s">
        <v>455</v>
      </c>
      <c r="U57" s="5" t="s">
        <v>603</v>
      </c>
      <c r="V57" s="5"/>
      <c r="W57" s="5"/>
      <c r="X57" s="2" t="s">
        <v>219</v>
      </c>
      <c r="Y57" s="5" t="s">
        <v>314</v>
      </c>
      <c r="Z57" s="5" t="e">
        <f>#REF!</f>
        <v>#REF!</v>
      </c>
      <c r="AA57" s="5" t="str">
        <f>IFERROR(HLOOKUP($Z57,Magic_Lores!$A$1:$ES$3,MATCH(Magic_Lores!$A$3,Magic_Lores!$A$1:$A$3,0),FALSE),"")</f>
        <v/>
      </c>
      <c r="AB57" s="5"/>
      <c r="AC57" s="70" t="s">
        <v>353</v>
      </c>
      <c r="AE57" s="46" t="s">
        <v>659</v>
      </c>
    </row>
    <row r="58" spans="2:31" ht="47.25" x14ac:dyDescent="0.25">
      <c r="B58">
        <f>Character_Builder!T28</f>
        <v>0</v>
      </c>
      <c r="K58" s="12" t="str">
        <f>IF(IFERROR(FIND("Metal+Wood",#REF!,1),0)&gt;0,Enhancements!$G$7,"")</f>
        <v/>
      </c>
      <c r="L58" s="12" t="str">
        <f>IF(IFERROR(FIND("Metal+Wood",#REF!,1),0)&gt;0,Enhancements!$G$8,"")</f>
        <v/>
      </c>
      <c r="M58" s="12" t="str">
        <f>IF(IFERROR(FIND("Metal+Wood",#REF!,1),0)&gt;0,Enhancements!$G$9,"")</f>
        <v/>
      </c>
      <c r="N58" s="12" t="str">
        <f>IF(IFERROR(FIND("Metal+Wood",#REF!,1),0)&gt;0,Enhancements!$G$10,"")</f>
        <v/>
      </c>
      <c r="O58" s="12"/>
      <c r="Q58" s="71" t="s">
        <v>737</v>
      </c>
      <c r="R58" s="5"/>
      <c r="S58" s="2" t="s">
        <v>209</v>
      </c>
      <c r="T58" s="5" t="s">
        <v>457</v>
      </c>
      <c r="U58" s="5" t="s">
        <v>601</v>
      </c>
      <c r="V58" s="5"/>
      <c r="W58" s="5"/>
      <c r="X58" s="2" t="s">
        <v>216</v>
      </c>
      <c r="Y58" s="51"/>
      <c r="Z58" s="5" t="e">
        <f>#REF!</f>
        <v>#REF!</v>
      </c>
      <c r="AA58" s="5" t="str">
        <f>IFERROR(HLOOKUP($Z58,Magic_Lores!$A$1:$ES$3,MATCH(Magic_Lores!$A$3,Magic_Lores!$A$1:$A$3,0),FALSE),"")</f>
        <v/>
      </c>
      <c r="AB58" s="5"/>
      <c r="AC58" s="70" t="s">
        <v>62</v>
      </c>
      <c r="AE58" s="46" t="s">
        <v>698</v>
      </c>
    </row>
    <row r="59" spans="2:31" ht="63" x14ac:dyDescent="0.25">
      <c r="B59">
        <f>Character_Builder!T29</f>
        <v>0</v>
      </c>
      <c r="Q59" s="2" t="s">
        <v>685</v>
      </c>
      <c r="R59" s="5"/>
      <c r="S59" s="2" t="s">
        <v>212</v>
      </c>
      <c r="T59" s="5" t="s">
        <v>458</v>
      </c>
      <c r="U59" s="5" t="s">
        <v>602</v>
      </c>
      <c r="V59" s="5"/>
      <c r="W59" s="5"/>
      <c r="X59" s="2" t="s">
        <v>585</v>
      </c>
      <c r="Y59" s="5" t="s">
        <v>733</v>
      </c>
      <c r="Z59" s="5" t="e">
        <f>#REF!</f>
        <v>#REF!</v>
      </c>
      <c r="AA59" s="5" t="str">
        <f>IFERROR(HLOOKUP($Z59,Magic_Lores!$A$1:$ES$3,MATCH(Magic_Lores!$A$3,Magic_Lores!$A$1:$A$3,0),FALSE),"")</f>
        <v/>
      </c>
      <c r="AB59" s="5"/>
      <c r="AC59" s="70" t="s">
        <v>68</v>
      </c>
      <c r="AE59" s="46" t="s">
        <v>699</v>
      </c>
    </row>
    <row r="60" spans="2:31" ht="63" x14ac:dyDescent="0.25">
      <c r="B60">
        <f>Character_Builder!T30</f>
        <v>0</v>
      </c>
      <c r="Q60" s="2" t="s">
        <v>688</v>
      </c>
      <c r="R60" s="5"/>
      <c r="S60" s="2" t="s">
        <v>210</v>
      </c>
      <c r="T60" s="5" t="s">
        <v>456</v>
      </c>
      <c r="U60" s="5" t="s">
        <v>604</v>
      </c>
      <c r="V60" s="5"/>
      <c r="W60" s="5"/>
      <c r="X60" s="2" t="s">
        <v>221</v>
      </c>
      <c r="Y60" s="5" t="s">
        <v>496</v>
      </c>
      <c r="Z60" s="5" t="e">
        <f>#REF!</f>
        <v>#REF!</v>
      </c>
      <c r="AA60" s="5" t="str">
        <f>IFERROR(HLOOKUP($Z60,Magic_Lores!$A$1:$ES$3,MATCH(Magic_Lores!$A$3,Magic_Lores!$A$1:$A$3,0),FALSE),"")</f>
        <v/>
      </c>
      <c r="AB60" s="5"/>
      <c r="AC60" s="70" t="s">
        <v>61</v>
      </c>
      <c r="AE60" s="46" t="s">
        <v>813</v>
      </c>
    </row>
    <row r="61" spans="2:31" ht="31.5" x14ac:dyDescent="0.25">
      <c r="B61">
        <f>Character_Builder!T31</f>
        <v>0</v>
      </c>
      <c r="Q61" s="2" t="s">
        <v>687</v>
      </c>
      <c r="R61" s="5"/>
      <c r="S61" s="2" t="s">
        <v>207</v>
      </c>
      <c r="T61" s="5"/>
      <c r="U61" s="5"/>
      <c r="V61" s="5"/>
      <c r="W61" s="5"/>
      <c r="X61" s="2" t="s">
        <v>220</v>
      </c>
      <c r="Y61" s="5" t="s">
        <v>497</v>
      </c>
      <c r="Z61" s="5" t="e">
        <f>#REF!</f>
        <v>#REF!</v>
      </c>
      <c r="AA61" s="5" t="str">
        <f>IFERROR(HLOOKUP($Z61,Magic_Lores!$A$1:$ES$3,MATCH(Magic_Lores!$A$3,Magic_Lores!$A$1:$A$3,0),FALSE),"")</f>
        <v/>
      </c>
      <c r="AB61" s="5"/>
      <c r="AC61" s="70" t="s">
        <v>57</v>
      </c>
      <c r="AE61" s="46" t="s">
        <v>409</v>
      </c>
    </row>
    <row r="62" spans="2:31" ht="63" x14ac:dyDescent="0.25">
      <c r="B62">
        <f>Character_Builder!T32</f>
        <v>0</v>
      </c>
      <c r="Q62" s="2" t="s">
        <v>686</v>
      </c>
      <c r="R62" s="5"/>
      <c r="S62" s="2" t="s">
        <v>694</v>
      </c>
      <c r="T62" s="5" t="s">
        <v>731</v>
      </c>
      <c r="U62" s="5" t="s">
        <v>727</v>
      </c>
      <c r="V62" s="5"/>
      <c r="W62" s="5"/>
      <c r="X62" s="2" t="s">
        <v>217</v>
      </c>
      <c r="Y62" s="5" t="s">
        <v>196</v>
      </c>
      <c r="Z62" s="5" t="e">
        <f>#REF!</f>
        <v>#REF!</v>
      </c>
      <c r="AA62" s="5" t="str">
        <f>IFERROR(HLOOKUP($Z62,Magic_Lores!$A$1:$ES$3,MATCH(Magic_Lores!$A$3,Magic_Lores!$A$1:$A$3,0),FALSE),"")</f>
        <v/>
      </c>
      <c r="AB62" s="5"/>
      <c r="AC62" s="70" t="s">
        <v>60</v>
      </c>
      <c r="AD62" s="10"/>
      <c r="AE62" s="46" t="s">
        <v>392</v>
      </c>
    </row>
    <row r="63" spans="2:31" ht="31.5" x14ac:dyDescent="0.25">
      <c r="B63">
        <f>Character_Builder!T33</f>
        <v>0</v>
      </c>
      <c r="Q63" s="2" t="s">
        <v>684</v>
      </c>
      <c r="R63" s="5"/>
      <c r="S63" s="2" t="s">
        <v>211</v>
      </c>
      <c r="T63" s="5" t="s">
        <v>508</v>
      </c>
      <c r="U63" s="5" t="s">
        <v>610</v>
      </c>
      <c r="V63" s="5"/>
      <c r="W63" s="5"/>
      <c r="X63" s="2" t="s">
        <v>584</v>
      </c>
      <c r="Y63" s="51"/>
      <c r="Z63" s="5" t="e">
        <f>#REF!</f>
        <v>#REF!</v>
      </c>
      <c r="AA63" s="5" t="str">
        <f>IFERROR(HLOOKUP($Z63,Magic_Lores!$A$1:$ES$3,MATCH(Magic_Lores!$A$3,Magic_Lores!$A$1:$A$3,0),FALSE),"")</f>
        <v/>
      </c>
      <c r="AB63" s="5"/>
      <c r="AC63" s="70" t="s">
        <v>481</v>
      </c>
      <c r="AD63" s="43"/>
      <c r="AE63" s="46" t="s">
        <v>423</v>
      </c>
    </row>
    <row r="64" spans="2:31" ht="47.25" x14ac:dyDescent="0.25">
      <c r="B64">
        <f>Character_Builder!T34</f>
        <v>0</v>
      </c>
      <c r="Q64" s="2" t="s">
        <v>204</v>
      </c>
      <c r="R64" s="5"/>
      <c r="S64" s="2" t="s">
        <v>206</v>
      </c>
      <c r="T64" s="5" t="s">
        <v>510</v>
      </c>
      <c r="U64" s="5" t="s">
        <v>612</v>
      </c>
      <c r="V64" s="5"/>
      <c r="W64" s="5"/>
      <c r="X64" s="2" t="s">
        <v>218</v>
      </c>
      <c r="Y64" s="5" t="s">
        <v>732</v>
      </c>
      <c r="Z64" s="5" t="e">
        <f>#REF!</f>
        <v>#REF!</v>
      </c>
      <c r="AA64" s="5" t="str">
        <f>IFERROR(HLOOKUP($Z64,Magic_Lores!$A$1:$ES$3,MATCH(Magic_Lores!$A$3,Magic_Lores!$A$1:$A$3,0),FALSE),"")</f>
        <v/>
      </c>
      <c r="AB64" s="5"/>
      <c r="AC64" s="70" t="s">
        <v>64</v>
      </c>
      <c r="AE64" s="46" t="s">
        <v>424</v>
      </c>
    </row>
    <row r="65" spans="1:31" ht="31.5" x14ac:dyDescent="0.25">
      <c r="B65">
        <f>Character_Builder!T35</f>
        <v>0</v>
      </c>
      <c r="Q65" s="2" t="s">
        <v>491</v>
      </c>
      <c r="R65" s="5"/>
      <c r="S65" s="2"/>
      <c r="T65" s="5" t="s">
        <v>517</v>
      </c>
      <c r="U65" s="5" t="s">
        <v>609</v>
      </c>
      <c r="V65" s="5"/>
      <c r="W65" s="5"/>
      <c r="X65" s="2"/>
      <c r="Y65" s="5" t="s">
        <v>796</v>
      </c>
      <c r="Z65" s="5" t="e">
        <f>#REF!</f>
        <v>#REF!</v>
      </c>
      <c r="AA65" s="5" t="str">
        <f>IFERROR(HLOOKUP($Z65,Magic_Lores!$A$1:$ES$3,MATCH(Magic_Lores!$A$3,Magic_Lores!$A$1:$A$3,0),FALSE),"")</f>
        <v/>
      </c>
      <c r="AB65" s="5"/>
      <c r="AC65" s="70" t="s">
        <v>246</v>
      </c>
      <c r="AE65" s="46" t="s">
        <v>821</v>
      </c>
    </row>
    <row r="66" spans="1:31" ht="47.25" x14ac:dyDescent="0.25">
      <c r="B66">
        <f>Character_Builder!T36</f>
        <v>0</v>
      </c>
      <c r="Q66" s="2" t="s">
        <v>689</v>
      </c>
      <c r="R66" s="5"/>
      <c r="S66" s="80" t="s">
        <v>735</v>
      </c>
      <c r="T66" s="5" t="s">
        <v>509</v>
      </c>
      <c r="U66" s="5" t="s">
        <v>611</v>
      </c>
      <c r="V66" s="5"/>
      <c r="W66" s="5"/>
      <c r="X66" s="80" t="s">
        <v>734</v>
      </c>
      <c r="Y66" s="5" t="s">
        <v>459</v>
      </c>
      <c r="Z66" s="5" t="e">
        <f>#REF!</f>
        <v>#REF!</v>
      </c>
      <c r="AA66" s="5" t="str">
        <f>IFERROR(HLOOKUP($Z66,Magic_Lores!$A$1:$ES$3,MATCH(Magic_Lores!$A$3,Magic_Lores!$A$1:$A$3,0),FALSE),"")</f>
        <v/>
      </c>
      <c r="AB66" s="5"/>
      <c r="AC66" s="70" t="s">
        <v>858</v>
      </c>
      <c r="AE66" s="46" t="s">
        <v>822</v>
      </c>
    </row>
    <row r="67" spans="1:31" ht="31.5" x14ac:dyDescent="0.25">
      <c r="B67">
        <f>Character_Builder!T37</f>
        <v>0</v>
      </c>
      <c r="Q67" s="2" t="s">
        <v>203</v>
      </c>
      <c r="R67" s="5"/>
      <c r="S67" s="2" t="s">
        <v>219</v>
      </c>
      <c r="T67" s="5"/>
      <c r="U67" s="5"/>
      <c r="V67" s="5"/>
      <c r="W67" s="5"/>
      <c r="X67" s="2" t="s">
        <v>313</v>
      </c>
      <c r="Y67" s="5" t="s">
        <v>797</v>
      </c>
      <c r="Z67" s="5" t="e">
        <f>#REF!</f>
        <v>#REF!</v>
      </c>
      <c r="AA67" s="5" t="str">
        <f>IFERROR(HLOOKUP($Z67,Magic_Lores!$A$1:$ES$3,MATCH(Magic_Lores!$A$3,Magic_Lores!$A$1:$A$3,0),FALSE),"")</f>
        <v/>
      </c>
      <c r="AB67" s="5"/>
      <c r="AC67" s="70" t="s">
        <v>348</v>
      </c>
      <c r="AE67" s="46" t="s">
        <v>393</v>
      </c>
    </row>
    <row r="68" spans="1:31" ht="63" x14ac:dyDescent="0.25">
      <c r="B68">
        <f>Character_Builder!T38</f>
        <v>0</v>
      </c>
      <c r="Q68" s="2" t="s">
        <v>199</v>
      </c>
      <c r="R68" s="5"/>
      <c r="S68" s="2" t="s">
        <v>216</v>
      </c>
      <c r="T68" s="5" t="s">
        <v>730</v>
      </c>
      <c r="U68" s="5"/>
      <c r="V68" s="5"/>
      <c r="W68" s="5"/>
      <c r="X68" s="2" t="s">
        <v>364</v>
      </c>
      <c r="Y68" s="51"/>
      <c r="Z68" s="5" t="e">
        <f>#REF!</f>
        <v>#REF!</v>
      </c>
      <c r="AA68" s="5" t="str">
        <f>IFERROR(HLOOKUP($Z68,Magic_Lores!$A$1:$ES$3,MATCH(Magic_Lores!$A$3,Magic_Lores!$A$1:$A$3,0),FALSE),"")</f>
        <v/>
      </c>
      <c r="AB68" s="5"/>
      <c r="AE68" s="46" t="s">
        <v>394</v>
      </c>
    </row>
    <row r="69" spans="1:31" ht="47.25" x14ac:dyDescent="0.25">
      <c r="B69">
        <f>Character_Builder!T39</f>
        <v>0</v>
      </c>
      <c r="Q69" s="2" t="s">
        <v>200</v>
      </c>
      <c r="R69" s="5"/>
      <c r="S69" s="2" t="s">
        <v>585</v>
      </c>
      <c r="T69" s="5" t="s">
        <v>587</v>
      </c>
      <c r="U69" s="5"/>
      <c r="V69" s="5"/>
      <c r="W69" s="5"/>
      <c r="X69" s="2" t="s">
        <v>312</v>
      </c>
      <c r="Y69" s="5" t="s">
        <v>731</v>
      </c>
      <c r="Z69" s="5" t="e">
        <f>#REF!</f>
        <v>#REF!</v>
      </c>
      <c r="AA69" s="5" t="str">
        <f>IFERROR(HLOOKUP($Z69,Magic_Lores!$A$1:$ES$3,MATCH(Magic_Lores!$A$3,Magic_Lores!$A$1:$A$3,0),FALSE),"")</f>
        <v/>
      </c>
      <c r="AB69" s="5"/>
      <c r="AE69" s="46" t="s">
        <v>395</v>
      </c>
    </row>
    <row r="70" spans="1:31" ht="47.25" x14ac:dyDescent="0.25">
      <c r="B70">
        <f>Character_Builder!T40</f>
        <v>0</v>
      </c>
      <c r="Q70" s="2" t="s">
        <v>201</v>
      </c>
      <c r="R70" s="5"/>
      <c r="S70" s="2" t="s">
        <v>221</v>
      </c>
      <c r="T70" s="5" t="s">
        <v>589</v>
      </c>
      <c r="U70" s="5"/>
      <c r="V70" s="5"/>
      <c r="W70" s="5"/>
      <c r="X70" s="2" t="s">
        <v>311</v>
      </c>
      <c r="Y70" s="5" t="s">
        <v>513</v>
      </c>
      <c r="Z70" s="5" t="e">
        <f>#REF!</f>
        <v>#REF!</v>
      </c>
      <c r="AA70" s="5" t="str">
        <f>IFERROR(HLOOKUP($Z70,Magic_Lores!$A$1:$ES$3,MATCH(Magic_Lores!$A$3,Magic_Lores!$A$1:$A$3,0),FALSE),"")</f>
        <v/>
      </c>
      <c r="AB70" s="5"/>
      <c r="AC70" s="10" t="s">
        <v>248</v>
      </c>
      <c r="AE70" s="46" t="s">
        <v>641</v>
      </c>
    </row>
    <row r="71" spans="1:31" ht="31.5" x14ac:dyDescent="0.25">
      <c r="B71">
        <f>Character_Builder!T41</f>
        <v>0</v>
      </c>
      <c r="Q71" s="2" t="s">
        <v>202</v>
      </c>
      <c r="R71" s="5"/>
      <c r="S71" s="2" t="s">
        <v>220</v>
      </c>
      <c r="T71" s="5" t="s">
        <v>588</v>
      </c>
      <c r="U71" s="5"/>
      <c r="V71" s="5"/>
      <c r="W71" s="5"/>
      <c r="X71" s="2" t="s">
        <v>308</v>
      </c>
      <c r="Y71" s="5" t="s">
        <v>512</v>
      </c>
      <c r="Z71" s="5" t="e">
        <f>#REF!</f>
        <v>#REF!</v>
      </c>
      <c r="AA71" s="5" t="str">
        <f>IFERROR(HLOOKUP($Z71,Magic_Lores!$A$1:$ES$3,MATCH(Magic_Lores!$A$3,Magic_Lores!$A$1:$A$3,0),FALSE),"")</f>
        <v/>
      </c>
      <c r="AB71" s="5"/>
      <c r="AC71" t="s">
        <v>992</v>
      </c>
      <c r="AE71" s="46" t="s">
        <v>778</v>
      </c>
    </row>
    <row r="72" spans="1:31" ht="47.25" x14ac:dyDescent="0.25">
      <c r="B72">
        <f>Character_Builder!T42</f>
        <v>0</v>
      </c>
      <c r="Q72" s="2" t="s">
        <v>205</v>
      </c>
      <c r="R72" s="5"/>
      <c r="S72" s="2" t="s">
        <v>217</v>
      </c>
      <c r="T72" s="5" t="s">
        <v>590</v>
      </c>
      <c r="U72" s="5"/>
      <c r="V72" s="5"/>
      <c r="W72" s="5"/>
      <c r="X72" s="2" t="s">
        <v>310</v>
      </c>
      <c r="Y72" s="5" t="s">
        <v>511</v>
      </c>
      <c r="Z72" s="5" t="e">
        <f>#REF!</f>
        <v>#REF!</v>
      </c>
      <c r="AA72" s="5" t="str">
        <f>IFERROR(HLOOKUP($Z72,Magic_Lores!$A$1:$ES$3,MATCH(Magic_Lores!$A$3,Magic_Lores!$A$1:$A$3,0),FALSE),"")</f>
        <v/>
      </c>
      <c r="AB72" s="5"/>
      <c r="AC72" t="s">
        <v>996</v>
      </c>
      <c r="AE72" s="46" t="s">
        <v>411</v>
      </c>
    </row>
    <row r="73" spans="1:31" ht="15.75" x14ac:dyDescent="0.25">
      <c r="B73">
        <f>Character_Builder!T43</f>
        <v>0</v>
      </c>
      <c r="Q73" s="2" t="s">
        <v>198</v>
      </c>
      <c r="R73" s="5"/>
      <c r="S73" s="2" t="s">
        <v>584</v>
      </c>
      <c r="T73" s="5"/>
      <c r="U73" s="5"/>
      <c r="V73" s="5"/>
      <c r="W73" s="5"/>
      <c r="X73" s="2" t="s">
        <v>309</v>
      </c>
      <c r="Y73" s="51"/>
      <c r="Z73" s="5" t="e">
        <f>#REF!</f>
        <v>#REF!</v>
      </c>
      <c r="AA73" s="5" t="str">
        <f>IFERROR(HLOOKUP($Z73,Magic_Lores!$A$1:$ES$3,MATCH(Magic_Lores!$A$3,Magic_Lores!$A$1:$A$3,0),FALSE),"")</f>
        <v/>
      </c>
      <c r="AB73" s="5"/>
      <c r="AC73" s="46" t="s">
        <v>47</v>
      </c>
      <c r="AE73" t="s">
        <v>931</v>
      </c>
    </row>
    <row r="74" spans="1:31" ht="63" x14ac:dyDescent="0.25">
      <c r="B74">
        <f>Character_Builder!T44</f>
        <v>0</v>
      </c>
      <c r="Q74" s="2" t="s">
        <v>692</v>
      </c>
      <c r="R74" s="5"/>
      <c r="S74" s="2" t="s">
        <v>218</v>
      </c>
      <c r="T74" s="5" t="s">
        <v>729</v>
      </c>
      <c r="U74" s="51"/>
      <c r="V74" s="5"/>
      <c r="W74" s="5"/>
      <c r="X74" s="2" t="s">
        <v>314</v>
      </c>
      <c r="Y74" s="5" t="s">
        <v>730</v>
      </c>
      <c r="Z74" s="5" t="e">
        <f>#REF!</f>
        <v>#REF!</v>
      </c>
      <c r="AA74" s="5" t="str">
        <f>IFERROR(HLOOKUP($Z74,Magic_Lores!$A$1:$ES$3,MATCH(Magic_Lores!$A$3,Magic_Lores!$A$1:$A$3,0),FALSE),"")</f>
        <v/>
      </c>
      <c r="AB74" s="5"/>
      <c r="AC74" s="46" t="s">
        <v>54</v>
      </c>
      <c r="AE74" t="s">
        <v>932</v>
      </c>
    </row>
    <row r="75" spans="1:31" ht="47.25" x14ac:dyDescent="0.25">
      <c r="A75" s="10"/>
      <c r="Q75" s="2" t="s">
        <v>693</v>
      </c>
      <c r="R75" s="5"/>
      <c r="S75" s="2"/>
      <c r="T75" s="5" t="s">
        <v>596</v>
      </c>
      <c r="U75" s="51"/>
      <c r="V75" s="5"/>
      <c r="W75" s="5"/>
      <c r="X75" s="2"/>
      <c r="Y75" s="5" t="s">
        <v>593</v>
      </c>
      <c r="Z75" s="5" t="e">
        <f>#REF!</f>
        <v>#REF!</v>
      </c>
      <c r="AA75" s="5" t="str">
        <f>IFERROR(HLOOKUP($Z75,Magic_Lores!$A$1:$ES$3,MATCH(Magic_Lores!$A$3,Magic_Lores!$A$1:$A$3,0),FALSE),"")</f>
        <v/>
      </c>
      <c r="AB75" s="5"/>
      <c r="AC75" s="46" t="s">
        <v>58</v>
      </c>
      <c r="AE75" t="s">
        <v>933</v>
      </c>
    </row>
    <row r="76" spans="1:31" ht="47.25" x14ac:dyDescent="0.25">
      <c r="Q76" s="2" t="s">
        <v>691</v>
      </c>
      <c r="R76" s="5"/>
      <c r="S76" s="80" t="s">
        <v>734</v>
      </c>
      <c r="T76" s="5" t="s">
        <v>595</v>
      </c>
      <c r="U76" s="51"/>
      <c r="V76" s="5"/>
      <c r="W76" s="5"/>
      <c r="X76" s="80" t="s">
        <v>733</v>
      </c>
      <c r="Y76" s="5" t="s">
        <v>591</v>
      </c>
      <c r="Z76" s="5" t="e">
        <f>#REF!</f>
        <v>#REF!</v>
      </c>
      <c r="AA76" s="5" t="str">
        <f>IFERROR(HLOOKUP($Z76,Magic_Lores!$A$1:$ES$3,MATCH(Magic_Lores!$A$3,Magic_Lores!$A$1:$A$3,0),FALSE),"")</f>
        <v/>
      </c>
      <c r="AB76" s="5"/>
      <c r="AC76" s="46" t="s">
        <v>59</v>
      </c>
      <c r="AE76" t="s">
        <v>934</v>
      </c>
    </row>
    <row r="77" spans="1:31" ht="15.75" x14ac:dyDescent="0.25">
      <c r="Q77" s="2" t="s">
        <v>690</v>
      </c>
      <c r="R77" s="5"/>
      <c r="S77" s="2" t="s">
        <v>313</v>
      </c>
      <c r="T77" s="5" t="s">
        <v>597</v>
      </c>
      <c r="U77" s="51"/>
      <c r="V77" s="5"/>
      <c r="W77" s="5"/>
      <c r="X77" s="2" t="s">
        <v>492</v>
      </c>
      <c r="Y77" s="5" t="s">
        <v>592</v>
      </c>
      <c r="Z77" s="5" t="e">
        <f>#REF!</f>
        <v>#REF!</v>
      </c>
      <c r="AA77" s="5" t="str">
        <f>IFERROR(HLOOKUP($Z77,Magic_Lores!$A$1:$ES$3,MATCH(Magic_Lores!$A$3,Magic_Lores!$A$1:$A$3,0),FALSE),"")</f>
        <v/>
      </c>
      <c r="AB77" s="5"/>
      <c r="AE77" t="s">
        <v>935</v>
      </c>
    </row>
    <row r="78" spans="1:31" ht="31.5" x14ac:dyDescent="0.25">
      <c r="Q78" s="2"/>
      <c r="R78" s="5"/>
      <c r="S78" s="2" t="s">
        <v>364</v>
      </c>
      <c r="T78" s="5" t="s">
        <v>594</v>
      </c>
      <c r="U78" s="51"/>
      <c r="V78" s="5"/>
      <c r="W78" s="5"/>
      <c r="X78" s="2" t="s">
        <v>496</v>
      </c>
      <c r="Y78" s="51"/>
      <c r="Z78" s="5" t="e">
        <f>#REF!</f>
        <v>#REF!</v>
      </c>
      <c r="AA78" s="5" t="str">
        <f>IFERROR(HLOOKUP($Z78,Magic_Lores!$A$1:$ES$3,MATCH(Magic_Lores!$A$3,Magic_Lores!$A$1:$A$3,0),FALSE),"")</f>
        <v/>
      </c>
      <c r="AB78" s="5"/>
      <c r="AC78" s="10" t="s">
        <v>52</v>
      </c>
      <c r="AE78" t="s">
        <v>936</v>
      </c>
    </row>
    <row r="79" spans="1:31" ht="47.25" x14ac:dyDescent="0.25">
      <c r="Q79" s="71" t="s">
        <v>736</v>
      </c>
      <c r="R79" s="5"/>
      <c r="S79" s="2" t="s">
        <v>312</v>
      </c>
      <c r="T79" s="5"/>
      <c r="U79" s="51"/>
      <c r="V79" s="5"/>
      <c r="W79" s="5"/>
      <c r="X79" s="2" t="s">
        <v>497</v>
      </c>
      <c r="Y79" s="5" t="s">
        <v>729</v>
      </c>
      <c r="Z79" s="5" t="e">
        <f>#REF!</f>
        <v>#REF!</v>
      </c>
      <c r="AA79" s="5" t="str">
        <f>IFERROR(HLOOKUP($Z79,Magic_Lores!$A$1:$ES$3,MATCH(Magic_Lores!$A$3,Magic_Lores!$A$1:$A$3,0),FALSE),"")</f>
        <v/>
      </c>
      <c r="AB79" s="5"/>
      <c r="AC79" s="70" t="s">
        <v>921</v>
      </c>
      <c r="AE79" t="s">
        <v>937</v>
      </c>
    </row>
    <row r="80" spans="1:31" ht="63" x14ac:dyDescent="0.25">
      <c r="Q80" s="2" t="s">
        <v>213</v>
      </c>
      <c r="R80" s="5"/>
      <c r="S80" s="2" t="s">
        <v>311</v>
      </c>
      <c r="T80" s="5" t="s">
        <v>728</v>
      </c>
      <c r="U80" s="51"/>
      <c r="V80" s="5"/>
      <c r="W80" s="5"/>
      <c r="X80" s="2" t="s">
        <v>493</v>
      </c>
      <c r="Y80" s="5" t="s">
        <v>600</v>
      </c>
      <c r="Z80" s="5" t="e">
        <f>#REF!</f>
        <v>#REF!</v>
      </c>
      <c r="AA80" s="5" t="str">
        <f>IFERROR(HLOOKUP($Z80,Magic_Lores!$A$1:$ES$3,MATCH(Magic_Lores!$A$3,Magic_Lores!$A$1:$A$3,0),FALSE),"")</f>
        <v/>
      </c>
      <c r="AB80" s="5"/>
      <c r="AC80" s="70" t="s">
        <v>250</v>
      </c>
      <c r="AE80" t="s">
        <v>938</v>
      </c>
    </row>
    <row r="81" spans="1:31" ht="47.25" x14ac:dyDescent="0.25">
      <c r="Q81" s="2" t="s">
        <v>208</v>
      </c>
      <c r="R81" s="5"/>
      <c r="S81" s="2" t="s">
        <v>308</v>
      </c>
      <c r="T81" s="5" t="s">
        <v>603</v>
      </c>
      <c r="U81" s="51"/>
      <c r="V81" s="5"/>
      <c r="W81" s="5"/>
      <c r="X81" s="2" t="s">
        <v>495</v>
      </c>
      <c r="Y81" s="5" t="s">
        <v>599</v>
      </c>
      <c r="Z81" s="5" t="e">
        <f>#REF!</f>
        <v>#REF!</v>
      </c>
      <c r="AA81" s="5" t="str">
        <f>IFERROR(HLOOKUP($Z81,Magic_Lores!$A$1:$ES$3,MATCH(Magic_Lores!$A$3,Magic_Lores!$A$1:$A$3,0),FALSE),"")</f>
        <v/>
      </c>
      <c r="AB81" s="5"/>
      <c r="AC81" s="70" t="s">
        <v>1005</v>
      </c>
      <c r="AE81" t="s">
        <v>939</v>
      </c>
    </row>
    <row r="82" spans="1:31" ht="47.25" x14ac:dyDescent="0.25">
      <c r="Q82" s="2" t="s">
        <v>695</v>
      </c>
      <c r="R82" s="5"/>
      <c r="S82" s="2" t="s">
        <v>310</v>
      </c>
      <c r="T82" s="5" t="s">
        <v>601</v>
      </c>
      <c r="U82" s="51"/>
      <c r="V82" s="5"/>
      <c r="W82" s="5"/>
      <c r="X82" s="2" t="s">
        <v>196</v>
      </c>
      <c r="Y82" s="5" t="s">
        <v>598</v>
      </c>
      <c r="Z82" s="5" t="e">
        <f>#REF!</f>
        <v>#REF!</v>
      </c>
      <c r="AA82" s="5" t="str">
        <f>IFERROR(HLOOKUP($Z82,Magic_Lores!$A$1:$ES$3,MATCH(Magic_Lores!$A$3,Magic_Lores!$A$1:$A$3,0),FALSE),"")</f>
        <v/>
      </c>
      <c r="AB82" s="5"/>
      <c r="AC82" s="70" t="s">
        <v>575</v>
      </c>
      <c r="AE82" t="s">
        <v>940</v>
      </c>
    </row>
    <row r="83" spans="1:31" ht="47.25" x14ac:dyDescent="0.25">
      <c r="Q83" s="2" t="s">
        <v>209</v>
      </c>
      <c r="R83" s="5"/>
      <c r="S83" s="2" t="s">
        <v>309</v>
      </c>
      <c r="T83" s="5" t="s">
        <v>602</v>
      </c>
      <c r="U83" s="51"/>
      <c r="V83" s="5"/>
      <c r="W83" s="5"/>
      <c r="X83" s="2" t="s">
        <v>494</v>
      </c>
      <c r="Y83" s="51"/>
      <c r="Z83" s="5" t="e">
        <f>#REF!</f>
        <v>#REF!</v>
      </c>
      <c r="AA83" s="5" t="str">
        <f>IFERROR(HLOOKUP($Z83,Magic_Lores!$A$1:$ES$3,MATCH(Magic_Lores!$A$3,Magic_Lores!$A$1:$A$3,0),FALSE),"")</f>
        <v/>
      </c>
      <c r="AB83" s="5"/>
      <c r="AC83" s="70" t="s">
        <v>1006</v>
      </c>
      <c r="AE83" t="s">
        <v>941</v>
      </c>
    </row>
    <row r="84" spans="1:31" ht="63" x14ac:dyDescent="0.25">
      <c r="Q84" s="2" t="s">
        <v>212</v>
      </c>
      <c r="R84" s="5"/>
      <c r="S84" s="2" t="s">
        <v>314</v>
      </c>
      <c r="T84" s="5" t="s">
        <v>604</v>
      </c>
      <c r="U84" s="51"/>
      <c r="V84" s="5"/>
      <c r="W84" s="5"/>
      <c r="X84" s="2"/>
      <c r="Y84" s="5" t="s">
        <v>728</v>
      </c>
      <c r="Z84" s="5" t="e">
        <f>#REF!</f>
        <v>#REF!</v>
      </c>
      <c r="AA84" s="5" t="str">
        <f>IFERROR(HLOOKUP($Z84,Magic_Lores!$A$1:$ES$3,MATCH(Magic_Lores!$A$3,Magic_Lores!$A$1:$A$3,0),FALSE),"")</f>
        <v/>
      </c>
      <c r="AB84" s="5"/>
      <c r="AC84" s="70" t="s">
        <v>506</v>
      </c>
      <c r="AE84" t="s">
        <v>942</v>
      </c>
    </row>
    <row r="85" spans="1:31" ht="31.5" x14ac:dyDescent="0.25">
      <c r="A85" s="10"/>
      <c r="Q85" s="2" t="s">
        <v>210</v>
      </c>
      <c r="R85" s="5"/>
      <c r="S85" s="2"/>
      <c r="T85" s="5"/>
      <c r="U85" s="51"/>
      <c r="V85" s="5"/>
      <c r="W85" s="5"/>
      <c r="X85" s="80" t="s">
        <v>732</v>
      </c>
      <c r="Y85" s="5" t="s">
        <v>606</v>
      </c>
      <c r="Z85" s="5" t="e">
        <f>#REF!</f>
        <v>#REF!</v>
      </c>
      <c r="AA85" s="5" t="str">
        <f>IFERROR(HLOOKUP($Z85,Magic_Lores!$A$1:$ES$3,MATCH(Magic_Lores!$A$3,Magic_Lores!$A$1:$A$3,0),FALSE),"")</f>
        <v/>
      </c>
      <c r="AB85" s="5"/>
      <c r="AC85" s="70" t="s">
        <v>251</v>
      </c>
      <c r="AE85" t="s">
        <v>943</v>
      </c>
    </row>
    <row r="86" spans="1:31" ht="63" x14ac:dyDescent="0.25">
      <c r="Q86" s="2" t="s">
        <v>207</v>
      </c>
      <c r="R86" s="5"/>
      <c r="S86" s="80" t="s">
        <v>733</v>
      </c>
      <c r="T86" s="5" t="s">
        <v>727</v>
      </c>
      <c r="U86" s="51"/>
      <c r="V86" s="5"/>
      <c r="W86" s="5"/>
      <c r="X86" s="2" t="s">
        <v>455</v>
      </c>
      <c r="Y86" s="5" t="s">
        <v>605</v>
      </c>
      <c r="Z86" s="5" t="e">
        <f>#REF!</f>
        <v>#REF!</v>
      </c>
      <c r="AA86" s="5" t="str">
        <f>IFERROR(HLOOKUP($Z86,Magic_Lores!$A$1:$ES$3,MATCH(Magic_Lores!$A$3,Magic_Lores!$A$1:$A$3,0),FALSE),"")</f>
        <v/>
      </c>
      <c r="AB86" s="5"/>
      <c r="AC86" s="70" t="s">
        <v>255</v>
      </c>
      <c r="AE86" t="s">
        <v>944</v>
      </c>
    </row>
    <row r="87" spans="1:31" ht="31.5" x14ac:dyDescent="0.25">
      <c r="A87" s="10"/>
      <c r="Q87" s="2" t="s">
        <v>214</v>
      </c>
      <c r="R87" s="5"/>
      <c r="S87" s="2" t="s">
        <v>492</v>
      </c>
      <c r="T87" s="5" t="s">
        <v>610</v>
      </c>
      <c r="U87" s="51"/>
      <c r="V87" s="5"/>
      <c r="W87" s="5"/>
      <c r="X87" s="2" t="s">
        <v>457</v>
      </c>
      <c r="Y87" s="5" t="s">
        <v>608</v>
      </c>
      <c r="Z87" s="5" t="e">
        <f>#REF!</f>
        <v>#REF!</v>
      </c>
      <c r="AA87" s="5" t="str">
        <f>IFERROR(HLOOKUP($Z87,Magic_Lores!$A$1:$ES$3,MATCH(Magic_Lores!$A$3,Magic_Lores!$A$1:$A$3,0),FALSE),"")</f>
        <v/>
      </c>
      <c r="AB87" s="5"/>
      <c r="AC87" s="70" t="s">
        <v>254</v>
      </c>
      <c r="AE87" t="s">
        <v>945</v>
      </c>
    </row>
    <row r="88" spans="1:31" ht="47.25" x14ac:dyDescent="0.25">
      <c r="A88" s="10"/>
      <c r="Q88" s="2" t="s">
        <v>215</v>
      </c>
      <c r="R88" s="5"/>
      <c r="S88" s="2" t="s">
        <v>496</v>
      </c>
      <c r="T88" s="5" t="s">
        <v>612</v>
      </c>
      <c r="U88" s="51"/>
      <c r="V88" s="5"/>
      <c r="W88" s="5"/>
      <c r="X88" s="2" t="s">
        <v>796</v>
      </c>
      <c r="Y88" s="5" t="s">
        <v>607</v>
      </c>
      <c r="Z88" s="5"/>
      <c r="AA88" s="5"/>
      <c r="AB88" s="5"/>
      <c r="AC88" s="70" t="s">
        <v>749</v>
      </c>
      <c r="AE88" t="s">
        <v>946</v>
      </c>
    </row>
    <row r="89" spans="1:31" ht="31.5" x14ac:dyDescent="0.25">
      <c r="Q89" s="2" t="s">
        <v>694</v>
      </c>
      <c r="R89" s="5"/>
      <c r="S89" s="2" t="s">
        <v>497</v>
      </c>
      <c r="T89" s="5" t="s">
        <v>609</v>
      </c>
      <c r="U89" s="51"/>
      <c r="V89" s="5"/>
      <c r="W89" s="5"/>
      <c r="X89" s="2" t="s">
        <v>459</v>
      </c>
      <c r="Y89" s="51"/>
      <c r="Z89" s="51"/>
      <c r="AA89" s="51"/>
      <c r="AB89" s="5"/>
      <c r="AC89" s="70" t="s">
        <v>252</v>
      </c>
      <c r="AE89" t="s">
        <v>947</v>
      </c>
    </row>
    <row r="90" spans="1:31" ht="63" x14ac:dyDescent="0.25">
      <c r="A90" s="10"/>
      <c r="Q90" s="2" t="s">
        <v>211</v>
      </c>
      <c r="R90" s="5"/>
      <c r="S90" s="2" t="s">
        <v>493</v>
      </c>
      <c r="T90" s="5" t="s">
        <v>611</v>
      </c>
      <c r="U90" s="51"/>
      <c r="V90" s="5"/>
      <c r="W90" s="5"/>
      <c r="X90" s="2" t="s">
        <v>458</v>
      </c>
      <c r="Y90" s="5" t="s">
        <v>727</v>
      </c>
      <c r="Z90" s="5"/>
      <c r="AA90" s="5"/>
      <c r="AB90" s="5"/>
      <c r="AC90" s="70" t="s">
        <v>81</v>
      </c>
      <c r="AE90" t="s">
        <v>948</v>
      </c>
    </row>
    <row r="91" spans="1:31" ht="31.5" x14ac:dyDescent="0.25">
      <c r="Q91" s="2" t="s">
        <v>206</v>
      </c>
      <c r="R91" s="5"/>
      <c r="S91" s="2" t="s">
        <v>495</v>
      </c>
      <c r="T91" s="5"/>
      <c r="U91" s="5"/>
      <c r="V91" s="5"/>
      <c r="W91" s="5"/>
      <c r="X91" s="2" t="s">
        <v>456</v>
      </c>
      <c r="Y91" s="5" t="s">
        <v>613</v>
      </c>
      <c r="Z91" s="5"/>
      <c r="AA91" s="5"/>
      <c r="AB91" s="5"/>
      <c r="AC91" s="70" t="s">
        <v>505</v>
      </c>
      <c r="AE91" t="s">
        <v>949</v>
      </c>
    </row>
    <row r="92" spans="1:31" ht="63" x14ac:dyDescent="0.25">
      <c r="A92" s="10"/>
      <c r="Q92" s="2"/>
      <c r="R92" s="5"/>
      <c r="S92" s="2" t="s">
        <v>196</v>
      </c>
      <c r="T92" s="5" t="s">
        <v>726</v>
      </c>
      <c r="U92" s="5"/>
      <c r="V92" s="5"/>
      <c r="W92" s="5"/>
      <c r="X92" s="2" t="s">
        <v>797</v>
      </c>
      <c r="Y92" s="5" t="s">
        <v>615</v>
      </c>
      <c r="Z92" s="5"/>
      <c r="AA92" s="5"/>
      <c r="AB92" s="5"/>
      <c r="AC92" s="70" t="s">
        <v>349</v>
      </c>
      <c r="AE92" t="s">
        <v>950</v>
      </c>
    </row>
    <row r="93" spans="1:31" ht="31.5" x14ac:dyDescent="0.25">
      <c r="Q93" s="71" t="s">
        <v>735</v>
      </c>
      <c r="R93" s="5"/>
      <c r="S93" s="2" t="s">
        <v>494</v>
      </c>
      <c r="T93" s="5" t="s">
        <v>568</v>
      </c>
      <c r="U93" s="5"/>
      <c r="V93" s="5"/>
      <c r="W93" s="5"/>
      <c r="X93" s="2"/>
      <c r="Y93" s="5" t="s">
        <v>618</v>
      </c>
      <c r="Z93" s="5"/>
      <c r="AA93" s="5"/>
      <c r="AB93" s="5"/>
      <c r="AC93" s="70" t="s">
        <v>1007</v>
      </c>
      <c r="AE93" t="s">
        <v>951</v>
      </c>
    </row>
    <row r="94" spans="1:31" ht="31.5" x14ac:dyDescent="0.25">
      <c r="A94" s="10"/>
      <c r="Q94" s="2" t="s">
        <v>223</v>
      </c>
      <c r="R94" s="5"/>
      <c r="S94" s="2"/>
      <c r="T94" s="5" t="s">
        <v>569</v>
      </c>
      <c r="U94" s="5"/>
      <c r="V94" s="5"/>
      <c r="W94" s="5"/>
      <c r="X94" s="80" t="s">
        <v>731</v>
      </c>
      <c r="Y94" s="5" t="s">
        <v>614</v>
      </c>
      <c r="Z94" s="5"/>
      <c r="AA94" s="5"/>
      <c r="AB94" s="5"/>
      <c r="AC94" s="70" t="s">
        <v>362</v>
      </c>
      <c r="AE94" t="s">
        <v>814</v>
      </c>
    </row>
    <row r="95" spans="1:31" ht="47.25" x14ac:dyDescent="0.25">
      <c r="Q95" s="2" t="s">
        <v>219</v>
      </c>
      <c r="R95" s="5"/>
      <c r="S95" s="80" t="s">
        <v>732</v>
      </c>
      <c r="T95" s="5" t="s">
        <v>570</v>
      </c>
      <c r="U95" s="5"/>
      <c r="V95" s="5"/>
      <c r="W95" s="5"/>
      <c r="X95" s="2" t="s">
        <v>513</v>
      </c>
      <c r="Y95" s="5" t="s">
        <v>616</v>
      </c>
      <c r="Z95" s="5"/>
      <c r="AA95" s="5"/>
      <c r="AB95" s="5"/>
      <c r="AC95" s="70" t="s">
        <v>253</v>
      </c>
      <c r="AE95" t="s">
        <v>819</v>
      </c>
    </row>
    <row r="96" spans="1:31" ht="31.5" x14ac:dyDescent="0.25">
      <c r="Q96" s="2" t="s">
        <v>216</v>
      </c>
      <c r="R96" s="5"/>
      <c r="S96" s="2" t="s">
        <v>455</v>
      </c>
      <c r="T96" s="5" t="s">
        <v>567</v>
      </c>
      <c r="U96" s="5"/>
      <c r="V96" s="5"/>
      <c r="W96" s="5"/>
      <c r="X96" s="2" t="s">
        <v>508</v>
      </c>
      <c r="Y96" s="51"/>
      <c r="Z96" s="51"/>
      <c r="AA96" s="51"/>
      <c r="AB96" s="5"/>
      <c r="AC96" s="70" t="s">
        <v>363</v>
      </c>
      <c r="AE96" t="s">
        <v>952</v>
      </c>
    </row>
    <row r="97" spans="17:31" ht="63" x14ac:dyDescent="0.25">
      <c r="Q97" s="2" t="s">
        <v>585</v>
      </c>
      <c r="R97" s="5"/>
      <c r="S97" s="2" t="s">
        <v>457</v>
      </c>
      <c r="T97" s="5"/>
      <c r="U97" s="5"/>
      <c r="V97" s="5"/>
      <c r="W97" s="5"/>
      <c r="X97" s="2" t="s">
        <v>510</v>
      </c>
      <c r="Y97" s="5" t="s">
        <v>726</v>
      </c>
      <c r="Z97" s="5"/>
      <c r="AA97" s="5"/>
      <c r="AB97" s="5"/>
      <c r="AC97" s="70" t="s">
        <v>361</v>
      </c>
      <c r="AE97" t="s">
        <v>953</v>
      </c>
    </row>
    <row r="98" spans="17:31" ht="47.25" x14ac:dyDescent="0.25">
      <c r="Q98" s="2" t="s">
        <v>586</v>
      </c>
      <c r="R98" s="5"/>
      <c r="S98" s="2" t="s">
        <v>796</v>
      </c>
      <c r="T98" s="5" t="s">
        <v>725</v>
      </c>
      <c r="U98" s="5"/>
      <c r="V98" s="5"/>
      <c r="W98" s="5"/>
      <c r="X98" s="2" t="s">
        <v>517</v>
      </c>
      <c r="Y98" s="5" t="s">
        <v>571</v>
      </c>
      <c r="Z98" s="5"/>
      <c r="AA98" s="5"/>
      <c r="AB98" s="5"/>
      <c r="AE98" s="46" t="s">
        <v>818</v>
      </c>
    </row>
    <row r="99" spans="17:31" ht="31.5" x14ac:dyDescent="0.25">
      <c r="Q99" s="2" t="s">
        <v>224</v>
      </c>
      <c r="R99" s="5"/>
      <c r="S99" s="2" t="s">
        <v>459</v>
      </c>
      <c r="T99" s="5" t="s">
        <v>558</v>
      </c>
      <c r="U99" s="5"/>
      <c r="V99" s="5"/>
      <c r="W99" s="5"/>
      <c r="X99" s="2" t="s">
        <v>512</v>
      </c>
      <c r="Y99" s="5" t="s">
        <v>573</v>
      </c>
      <c r="Z99" s="5"/>
      <c r="AA99" s="5"/>
      <c r="AB99" s="5"/>
      <c r="AC99" s="10" t="s">
        <v>281</v>
      </c>
      <c r="AE99" s="46" t="s">
        <v>642</v>
      </c>
    </row>
    <row r="100" spans="17:31" ht="63" x14ac:dyDescent="0.25">
      <c r="Q100" s="2" t="s">
        <v>221</v>
      </c>
      <c r="R100" s="5"/>
      <c r="S100" s="2" t="s">
        <v>458</v>
      </c>
      <c r="T100" s="5" t="s">
        <v>557</v>
      </c>
      <c r="U100" s="5"/>
      <c r="V100" s="5"/>
      <c r="W100" s="5"/>
      <c r="X100" s="2" t="s">
        <v>511</v>
      </c>
      <c r="Y100" s="5" t="s">
        <v>572</v>
      </c>
      <c r="Z100" s="5"/>
      <c r="AA100" s="5"/>
      <c r="AB100" s="5"/>
      <c r="AC100" s="46" t="s">
        <v>268</v>
      </c>
      <c r="AE100" s="46" t="s">
        <v>643</v>
      </c>
    </row>
    <row r="101" spans="17:31" ht="31.5" x14ac:dyDescent="0.25">
      <c r="Q101" s="2" t="s">
        <v>220</v>
      </c>
      <c r="R101" s="5"/>
      <c r="S101" s="2" t="s">
        <v>456</v>
      </c>
      <c r="T101" s="5" t="s">
        <v>555</v>
      </c>
      <c r="U101" s="5"/>
      <c r="V101" s="5"/>
      <c r="W101" s="5"/>
      <c r="X101" s="2" t="s">
        <v>509</v>
      </c>
      <c r="Y101" s="51"/>
      <c r="Z101" s="51"/>
      <c r="AA101" s="51"/>
      <c r="AB101" s="5"/>
      <c r="AE101" s="46" t="s">
        <v>815</v>
      </c>
    </row>
    <row r="102" spans="17:31" ht="47.25" x14ac:dyDescent="0.25">
      <c r="Q102" s="2" t="s">
        <v>217</v>
      </c>
      <c r="R102" s="5"/>
      <c r="S102" s="2" t="s">
        <v>797</v>
      </c>
      <c r="T102" s="5" t="s">
        <v>556</v>
      </c>
      <c r="U102" s="5"/>
      <c r="V102" s="5"/>
      <c r="W102" s="5"/>
      <c r="X102" s="2"/>
      <c r="Y102" s="5" t="s">
        <v>725</v>
      </c>
      <c r="Z102" s="5"/>
      <c r="AA102" s="5"/>
      <c r="AB102" s="5"/>
      <c r="AC102" s="10" t="s">
        <v>50</v>
      </c>
      <c r="AE102" s="46" t="s">
        <v>660</v>
      </c>
    </row>
    <row r="103" spans="17:31" ht="47.25" x14ac:dyDescent="0.25">
      <c r="Q103" s="2" t="s">
        <v>222</v>
      </c>
      <c r="R103" s="5"/>
      <c r="S103" s="2"/>
      <c r="T103" s="51"/>
      <c r="U103" s="51"/>
      <c r="V103" s="5"/>
      <c r="W103" s="5"/>
      <c r="X103" s="80" t="s">
        <v>730</v>
      </c>
      <c r="Y103" s="5" t="s">
        <v>561</v>
      </c>
      <c r="Z103" s="5"/>
      <c r="AA103" s="5"/>
      <c r="AB103" s="5"/>
      <c r="AC103" s="70" t="s">
        <v>73</v>
      </c>
      <c r="AE103" s="46" t="s">
        <v>661</v>
      </c>
    </row>
    <row r="104" spans="17:31" ht="31.5" x14ac:dyDescent="0.25">
      <c r="Q104" s="2" t="s">
        <v>584</v>
      </c>
      <c r="R104" s="5"/>
      <c r="S104" s="80" t="s">
        <v>731</v>
      </c>
      <c r="T104" s="51"/>
      <c r="U104" s="51"/>
      <c r="V104" s="5"/>
      <c r="W104" s="5"/>
      <c r="X104" s="2" t="s">
        <v>593</v>
      </c>
      <c r="Y104" s="5" t="s">
        <v>559</v>
      </c>
      <c r="Z104" s="5"/>
      <c r="AA104" s="5"/>
      <c r="AB104" s="5"/>
      <c r="AC104" s="70" t="s">
        <v>1000</v>
      </c>
      <c r="AE104" s="46" t="s">
        <v>839</v>
      </c>
    </row>
    <row r="105" spans="17:31" ht="31.5" x14ac:dyDescent="0.25">
      <c r="Q105" s="2" t="s">
        <v>218</v>
      </c>
      <c r="R105" s="5"/>
      <c r="S105" s="2" t="s">
        <v>513</v>
      </c>
      <c r="T105" s="51"/>
      <c r="U105" s="51"/>
      <c r="V105" s="5"/>
      <c r="W105" s="5"/>
      <c r="X105" s="2" t="s">
        <v>587</v>
      </c>
      <c r="Y105" s="5" t="s">
        <v>560</v>
      </c>
      <c r="Z105" s="5"/>
      <c r="AA105" s="5"/>
      <c r="AB105" s="5"/>
      <c r="AC105" s="70" t="s">
        <v>1001</v>
      </c>
      <c r="AE105" s="46" t="s">
        <v>840</v>
      </c>
    </row>
    <row r="106" spans="17:31" ht="15.75" x14ac:dyDescent="0.25">
      <c r="Q106" s="2"/>
      <c r="R106" s="5"/>
      <c r="S106" s="2" t="s">
        <v>508</v>
      </c>
      <c r="T106" s="51"/>
      <c r="U106" s="51"/>
      <c r="V106" s="5"/>
      <c r="W106" s="5"/>
      <c r="X106" s="2" t="s">
        <v>589</v>
      </c>
      <c r="Y106" s="51"/>
      <c r="Z106" s="51"/>
      <c r="AA106" s="51"/>
      <c r="AB106" s="5"/>
      <c r="AC106" s="70" t="s">
        <v>249</v>
      </c>
      <c r="AE106" s="46" t="s">
        <v>644</v>
      </c>
    </row>
    <row r="107" spans="17:31" ht="15.75" x14ac:dyDescent="0.25">
      <c r="Q107" s="71" t="s">
        <v>734</v>
      </c>
      <c r="R107" s="5"/>
      <c r="S107" s="2" t="s">
        <v>510</v>
      </c>
      <c r="T107" s="51"/>
      <c r="U107" s="51"/>
      <c r="V107" s="5"/>
      <c r="W107" s="5"/>
      <c r="X107" s="2" t="s">
        <v>591</v>
      </c>
      <c r="Y107" s="51"/>
      <c r="Z107" s="51"/>
      <c r="AA107" s="51"/>
      <c r="AB107" s="5"/>
      <c r="AC107" s="70" t="s">
        <v>1002</v>
      </c>
      <c r="AE107" s="46" t="s">
        <v>645</v>
      </c>
    </row>
    <row r="108" spans="17:31" ht="15.75" x14ac:dyDescent="0.25">
      <c r="Q108" s="2" t="s">
        <v>313</v>
      </c>
      <c r="R108" s="5"/>
      <c r="S108" s="2" t="s">
        <v>517</v>
      </c>
      <c r="T108" s="51"/>
      <c r="U108" s="51"/>
      <c r="V108" s="5"/>
      <c r="W108" s="5"/>
      <c r="X108" s="2" t="s">
        <v>592</v>
      </c>
      <c r="Y108" s="51"/>
      <c r="Z108" s="51"/>
      <c r="AA108" s="51"/>
      <c r="AB108" s="5"/>
      <c r="AC108" s="70" t="s">
        <v>1003</v>
      </c>
      <c r="AE108" s="46" t="s">
        <v>820</v>
      </c>
    </row>
    <row r="109" spans="17:31" ht="15.75" x14ac:dyDescent="0.25">
      <c r="Q109" s="2" t="s">
        <v>364</v>
      </c>
      <c r="R109" s="5"/>
      <c r="S109" s="2" t="s">
        <v>512</v>
      </c>
      <c r="T109" s="51"/>
      <c r="U109" s="51"/>
      <c r="V109" s="5"/>
      <c r="W109" s="5"/>
      <c r="X109" s="2" t="s">
        <v>588</v>
      </c>
      <c r="Y109" s="51"/>
      <c r="Z109" s="51"/>
      <c r="AA109" s="51"/>
      <c r="AB109" s="5"/>
      <c r="AC109" s="70" t="s">
        <v>721</v>
      </c>
      <c r="AE109" s="46" t="s">
        <v>702</v>
      </c>
    </row>
    <row r="110" spans="17:31" ht="15.75" x14ac:dyDescent="0.25">
      <c r="Q110" s="2" t="s">
        <v>697</v>
      </c>
      <c r="R110" s="5"/>
      <c r="S110" s="2" t="s">
        <v>511</v>
      </c>
      <c r="T110" s="51"/>
      <c r="U110" s="51"/>
      <c r="V110" s="5"/>
      <c r="W110" s="5"/>
      <c r="X110" s="2" t="s">
        <v>590</v>
      </c>
      <c r="Y110" s="51"/>
      <c r="Z110" s="51"/>
      <c r="AA110" s="51"/>
      <c r="AB110" s="5"/>
      <c r="AC110" s="70" t="s">
        <v>1004</v>
      </c>
      <c r="AE110" s="46" t="s">
        <v>703</v>
      </c>
    </row>
    <row r="111" spans="17:31" ht="15.75" x14ac:dyDescent="0.25">
      <c r="Q111" s="2" t="s">
        <v>316</v>
      </c>
      <c r="R111" s="5"/>
      <c r="S111" s="2" t="s">
        <v>509</v>
      </c>
      <c r="T111" s="51"/>
      <c r="U111" s="51"/>
      <c r="V111" s="5"/>
      <c r="W111" s="5"/>
      <c r="X111" s="2"/>
      <c r="Y111" s="51"/>
      <c r="Z111" s="51"/>
      <c r="AA111" s="51"/>
      <c r="AB111" s="5"/>
      <c r="AC111" s="70" t="s">
        <v>71</v>
      </c>
      <c r="AE111" s="46" t="s">
        <v>410</v>
      </c>
    </row>
    <row r="112" spans="17:31" ht="15.75" x14ac:dyDescent="0.25">
      <c r="Q112" s="2" t="s">
        <v>312</v>
      </c>
      <c r="R112" s="5"/>
      <c r="S112" s="2"/>
      <c r="T112" s="51"/>
      <c r="U112" s="51"/>
      <c r="V112" s="5"/>
      <c r="W112" s="5"/>
      <c r="X112" s="80" t="s">
        <v>729</v>
      </c>
      <c r="Y112" s="51"/>
      <c r="Z112" s="51"/>
      <c r="AA112" s="51"/>
      <c r="AB112" s="5"/>
      <c r="AC112" s="70" t="s">
        <v>70</v>
      </c>
      <c r="AE112" s="46" t="s">
        <v>708</v>
      </c>
    </row>
    <row r="113" spans="2:31" ht="15.75" x14ac:dyDescent="0.25">
      <c r="Q113" s="2" t="s">
        <v>311</v>
      </c>
      <c r="R113" s="5"/>
      <c r="S113" s="80" t="s">
        <v>730</v>
      </c>
      <c r="T113" s="51"/>
      <c r="U113" s="51"/>
      <c r="V113" s="5"/>
      <c r="W113" s="5"/>
      <c r="X113" s="2" t="s">
        <v>596</v>
      </c>
      <c r="Y113" s="51"/>
      <c r="Z113" s="51"/>
      <c r="AA113" s="51"/>
      <c r="AB113" s="5"/>
      <c r="AC113" s="70" t="s">
        <v>74</v>
      </c>
      <c r="AE113" s="46" t="s">
        <v>709</v>
      </c>
    </row>
    <row r="114" spans="2:31" ht="15.75" x14ac:dyDescent="0.25">
      <c r="Q114" s="2" t="s">
        <v>308</v>
      </c>
      <c r="R114" s="5"/>
      <c r="S114" s="2" t="s">
        <v>593</v>
      </c>
      <c r="T114" s="51"/>
      <c r="U114" s="51"/>
      <c r="V114" s="5"/>
      <c r="W114" s="5"/>
      <c r="X114" s="2" t="s">
        <v>595</v>
      </c>
      <c r="Y114" s="51"/>
      <c r="Z114" s="51"/>
      <c r="AA114" s="51"/>
      <c r="AB114" s="5"/>
      <c r="AC114" s="70" t="s">
        <v>860</v>
      </c>
      <c r="AE114" s="46" t="s">
        <v>437</v>
      </c>
    </row>
    <row r="115" spans="2:31" ht="15.75" x14ac:dyDescent="0.25">
      <c r="Q115" s="2" t="s">
        <v>315</v>
      </c>
      <c r="R115" s="5"/>
      <c r="S115" s="2" t="s">
        <v>587</v>
      </c>
      <c r="T115" s="51"/>
      <c r="U115" s="51"/>
      <c r="V115" s="5"/>
      <c r="W115" s="5"/>
      <c r="X115" s="2" t="s">
        <v>597</v>
      </c>
      <c r="Y115" s="51"/>
      <c r="Z115" s="51"/>
      <c r="AA115" s="51"/>
      <c r="AB115" s="5"/>
      <c r="AC115" s="70" t="s">
        <v>72</v>
      </c>
      <c r="AE115" s="46" t="s">
        <v>438</v>
      </c>
    </row>
    <row r="116" spans="2:31" ht="15.75" x14ac:dyDescent="0.25">
      <c r="Q116" s="2" t="s">
        <v>310</v>
      </c>
      <c r="R116" s="5"/>
      <c r="S116" s="2" t="s">
        <v>589</v>
      </c>
      <c r="T116" s="51"/>
      <c r="U116" s="51"/>
      <c r="V116" s="5"/>
      <c r="W116" s="5"/>
      <c r="X116" s="2" t="s">
        <v>600</v>
      </c>
      <c r="Y116" s="51"/>
      <c r="Z116" s="51"/>
      <c r="AA116" s="51"/>
      <c r="AB116" s="5"/>
      <c r="AC116" s="70" t="s">
        <v>447</v>
      </c>
      <c r="AE116" s="46" t="s">
        <v>837</v>
      </c>
    </row>
    <row r="117" spans="2:31" ht="15.75" x14ac:dyDescent="0.25">
      <c r="Q117" s="2" t="s">
        <v>696</v>
      </c>
      <c r="R117" s="5"/>
      <c r="S117" s="2" t="s">
        <v>591</v>
      </c>
      <c r="T117" s="51"/>
      <c r="U117" s="51"/>
      <c r="V117" s="5"/>
      <c r="W117" s="5"/>
      <c r="X117" s="2" t="s">
        <v>599</v>
      </c>
      <c r="Y117" s="51"/>
      <c r="Z117" s="51"/>
      <c r="AA117" s="51"/>
      <c r="AB117" s="5"/>
      <c r="AC117" s="70" t="s">
        <v>69</v>
      </c>
      <c r="AE117" s="46" t="s">
        <v>838</v>
      </c>
    </row>
    <row r="118" spans="2:31" ht="15.75" x14ac:dyDescent="0.25">
      <c r="Q118" s="2" t="s">
        <v>309</v>
      </c>
      <c r="R118" s="5"/>
      <c r="S118" s="2" t="s">
        <v>592</v>
      </c>
      <c r="T118" s="51"/>
      <c r="U118" s="51"/>
      <c r="V118" s="5"/>
      <c r="W118" s="5"/>
      <c r="X118" s="2" t="s">
        <v>594</v>
      </c>
      <c r="Y118" s="51"/>
      <c r="Z118" s="51"/>
      <c r="AA118" s="51"/>
      <c r="AB118" s="5"/>
      <c r="AE118" s="46" t="s">
        <v>812</v>
      </c>
    </row>
    <row r="119" spans="2:31" ht="15.75" x14ac:dyDescent="0.25">
      <c r="Q119" s="2" t="s">
        <v>314</v>
      </c>
      <c r="R119" s="5"/>
      <c r="S119" s="2" t="s">
        <v>588</v>
      </c>
      <c r="T119" s="51"/>
      <c r="U119" s="51"/>
      <c r="V119" s="5"/>
      <c r="W119" s="5"/>
      <c r="X119" s="2" t="s">
        <v>598</v>
      </c>
      <c r="Y119" s="51"/>
      <c r="Z119" s="51"/>
      <c r="AA119" s="51"/>
      <c r="AB119" s="5"/>
      <c r="AC119" s="10" t="s">
        <v>51</v>
      </c>
      <c r="AE119" s="46" t="s">
        <v>640</v>
      </c>
    </row>
    <row r="120" spans="2:31" ht="15.75" x14ac:dyDescent="0.25">
      <c r="Q120" s="2"/>
      <c r="R120" s="5"/>
      <c r="S120" s="2" t="s">
        <v>590</v>
      </c>
      <c r="T120" s="51"/>
      <c r="U120" s="51"/>
      <c r="V120" s="5"/>
      <c r="W120" s="5"/>
      <c r="X120" s="2"/>
      <c r="Y120" s="51"/>
      <c r="Z120" s="51"/>
      <c r="AA120" s="51"/>
      <c r="AB120" s="5"/>
      <c r="AC120" s="46" t="s">
        <v>257</v>
      </c>
      <c r="AE120" s="46" t="s">
        <v>236</v>
      </c>
    </row>
    <row r="121" spans="2:31" ht="15.75" x14ac:dyDescent="0.25">
      <c r="Q121" s="71" t="s">
        <v>733</v>
      </c>
      <c r="R121" s="5"/>
      <c r="S121" s="2"/>
      <c r="T121" s="51"/>
      <c r="U121" s="51"/>
      <c r="V121" s="5"/>
      <c r="W121" s="5"/>
      <c r="X121" s="80" t="s">
        <v>728</v>
      </c>
      <c r="Y121" s="51"/>
      <c r="Z121" s="51"/>
      <c r="AA121" s="51"/>
      <c r="AB121" s="5"/>
      <c r="AC121" t="s">
        <v>1008</v>
      </c>
      <c r="AE121" s="46" t="s">
        <v>237</v>
      </c>
    </row>
    <row r="122" spans="2:31" ht="15.75" x14ac:dyDescent="0.25">
      <c r="B122" s="10"/>
      <c r="Q122" s="2" t="s">
        <v>492</v>
      </c>
      <c r="R122" s="5"/>
      <c r="S122" s="80" t="s">
        <v>729</v>
      </c>
      <c r="T122" s="51"/>
      <c r="U122" s="51"/>
      <c r="V122" s="5"/>
      <c r="W122" s="5"/>
      <c r="X122" s="2" t="s">
        <v>606</v>
      </c>
      <c r="Y122" s="51"/>
      <c r="Z122" s="51"/>
      <c r="AA122" s="51"/>
      <c r="AB122" s="5"/>
      <c r="AC122" t="s">
        <v>1009</v>
      </c>
      <c r="AE122" s="46" t="s">
        <v>396</v>
      </c>
    </row>
    <row r="123" spans="2:31" ht="15.75" x14ac:dyDescent="0.25">
      <c r="Q123" s="2" t="s">
        <v>496</v>
      </c>
      <c r="R123" s="5"/>
      <c r="S123" s="2" t="s">
        <v>596</v>
      </c>
      <c r="T123" s="51"/>
      <c r="U123" s="51"/>
      <c r="V123" s="5"/>
      <c r="W123" s="5"/>
      <c r="X123" s="2" t="s">
        <v>605</v>
      </c>
      <c r="Y123" s="51"/>
      <c r="Z123" s="51"/>
      <c r="AA123" s="51"/>
      <c r="AB123" s="5"/>
      <c r="AC123" s="46" t="s">
        <v>260</v>
      </c>
      <c r="AE123" s="46" t="s">
        <v>433</v>
      </c>
    </row>
    <row r="124" spans="2:31" ht="15.75" x14ac:dyDescent="0.25">
      <c r="Q124" s="2" t="s">
        <v>497</v>
      </c>
      <c r="R124" s="5"/>
      <c r="S124" s="2" t="s">
        <v>595</v>
      </c>
      <c r="T124" s="51"/>
      <c r="U124" s="51"/>
      <c r="V124" s="5"/>
      <c r="W124" s="5"/>
      <c r="X124" s="2" t="s">
        <v>608</v>
      </c>
      <c r="Y124" s="51"/>
      <c r="Z124" s="51"/>
      <c r="AA124" s="51"/>
      <c r="AB124" s="5"/>
      <c r="AC124" s="46" t="s">
        <v>242</v>
      </c>
      <c r="AE124" s="46" t="s">
        <v>434</v>
      </c>
    </row>
    <row r="125" spans="2:31" ht="15.75" x14ac:dyDescent="0.25">
      <c r="Q125" s="2" t="s">
        <v>493</v>
      </c>
      <c r="R125" s="5"/>
      <c r="S125" s="2" t="s">
        <v>597</v>
      </c>
      <c r="T125" s="51"/>
      <c r="U125" s="51"/>
      <c r="V125" s="5"/>
      <c r="W125" s="5"/>
      <c r="X125" s="2" t="s">
        <v>603</v>
      </c>
      <c r="Y125" s="51"/>
      <c r="Z125" s="51"/>
      <c r="AA125" s="51"/>
      <c r="AB125" s="5"/>
      <c r="AC125" t="s">
        <v>1010</v>
      </c>
      <c r="AE125" s="46" t="s">
        <v>833</v>
      </c>
    </row>
    <row r="126" spans="2:31" ht="15.75" x14ac:dyDescent="0.25">
      <c r="Q126" s="2" t="s">
        <v>495</v>
      </c>
      <c r="R126" s="5"/>
      <c r="S126" s="2" t="s">
        <v>600</v>
      </c>
      <c r="T126" s="51"/>
      <c r="U126" s="51"/>
      <c r="V126" s="5"/>
      <c r="W126" s="5"/>
      <c r="X126" s="2" t="s">
        <v>601</v>
      </c>
      <c r="Y126" s="51"/>
      <c r="Z126" s="51"/>
      <c r="AA126" s="51"/>
      <c r="AB126" s="5"/>
      <c r="AC126" t="s">
        <v>1011</v>
      </c>
      <c r="AE126" s="46" t="s">
        <v>834</v>
      </c>
    </row>
    <row r="127" spans="2:31" ht="15.75" x14ac:dyDescent="0.25">
      <c r="Q127" s="2" t="s">
        <v>498</v>
      </c>
      <c r="R127" s="5"/>
      <c r="S127" s="2" t="s">
        <v>599</v>
      </c>
      <c r="T127" s="51"/>
      <c r="U127" s="51"/>
      <c r="V127" s="5"/>
      <c r="W127" s="5"/>
      <c r="X127" s="2" t="s">
        <v>602</v>
      </c>
      <c r="Y127" s="51"/>
      <c r="Z127" s="51"/>
      <c r="AA127" s="51"/>
      <c r="AB127" s="5"/>
      <c r="AC127" s="46" t="s">
        <v>259</v>
      </c>
      <c r="AE127" s="46" t="s">
        <v>855</v>
      </c>
    </row>
    <row r="128" spans="2:31" ht="15.75" x14ac:dyDescent="0.25">
      <c r="Q128" s="2" t="s">
        <v>196</v>
      </c>
      <c r="R128" s="5"/>
      <c r="S128" s="2" t="s">
        <v>594</v>
      </c>
      <c r="T128" s="51"/>
      <c r="U128" s="51"/>
      <c r="V128" s="5"/>
      <c r="W128" s="5"/>
      <c r="X128" s="2" t="s">
        <v>604</v>
      </c>
      <c r="Y128" s="51"/>
      <c r="Z128" s="51"/>
      <c r="AA128" s="51"/>
      <c r="AB128" s="5"/>
      <c r="AC128" s="46" t="s">
        <v>258</v>
      </c>
      <c r="AE128" s="46" t="s">
        <v>890</v>
      </c>
    </row>
    <row r="129" spans="17:31" ht="15.75" x14ac:dyDescent="0.25">
      <c r="Q129" s="2" t="s">
        <v>499</v>
      </c>
      <c r="R129" s="5"/>
      <c r="S129" s="2" t="s">
        <v>598</v>
      </c>
      <c r="T129" s="51"/>
      <c r="U129" s="51"/>
      <c r="V129" s="5"/>
      <c r="W129" s="5"/>
      <c r="X129" s="2" t="s">
        <v>607</v>
      </c>
      <c r="Y129" s="51"/>
      <c r="Z129" s="51"/>
      <c r="AA129" s="51"/>
      <c r="AB129" s="5"/>
      <c r="AC129" s="46" t="s">
        <v>261</v>
      </c>
      <c r="AE129" s="43" t="s">
        <v>750</v>
      </c>
    </row>
    <row r="130" spans="17:31" ht="15.75" x14ac:dyDescent="0.25">
      <c r="Q130" s="2" t="s">
        <v>494</v>
      </c>
      <c r="R130" s="5"/>
      <c r="S130" s="2"/>
      <c r="T130" s="51"/>
      <c r="U130" s="5"/>
      <c r="V130" s="5"/>
      <c r="W130" s="5"/>
      <c r="X130" s="2"/>
      <c r="Y130" s="51"/>
      <c r="Z130" s="51"/>
      <c r="AA130" s="51"/>
      <c r="AB130" s="5"/>
      <c r="AC130" t="s">
        <v>1012</v>
      </c>
      <c r="AE130" s="46" t="s">
        <v>522</v>
      </c>
    </row>
    <row r="131" spans="17:31" ht="15.75" x14ac:dyDescent="0.25">
      <c r="Q131" s="2" t="s">
        <v>500</v>
      </c>
      <c r="S131" s="80" t="s">
        <v>728</v>
      </c>
      <c r="T131" s="51"/>
      <c r="U131" s="51"/>
      <c r="V131" s="51"/>
      <c r="W131" s="51"/>
      <c r="X131" s="80" t="s">
        <v>727</v>
      </c>
      <c r="Y131" s="51"/>
      <c r="Z131" s="51"/>
      <c r="AA131" s="51"/>
      <c r="AC131" s="46" t="s">
        <v>262</v>
      </c>
      <c r="AE131" s="46" t="s">
        <v>527</v>
      </c>
    </row>
    <row r="132" spans="17:31" ht="15.75" x14ac:dyDescent="0.25">
      <c r="Q132" s="2"/>
      <c r="S132" s="2" t="s">
        <v>606</v>
      </c>
      <c r="T132" s="51"/>
      <c r="U132" s="51"/>
      <c r="V132" s="51"/>
      <c r="W132" s="51"/>
      <c r="X132" s="2" t="s">
        <v>613</v>
      </c>
      <c r="Y132" s="51"/>
      <c r="Z132" s="51"/>
      <c r="AA132" s="51"/>
      <c r="AE132" s="46" t="s">
        <v>528</v>
      </c>
    </row>
    <row r="133" spans="17:31" ht="15.75" x14ac:dyDescent="0.25">
      <c r="Q133" s="71" t="s">
        <v>731</v>
      </c>
      <c r="S133" s="2" t="s">
        <v>605</v>
      </c>
      <c r="T133" s="51"/>
      <c r="U133" s="51"/>
      <c r="V133" s="51"/>
      <c r="W133" s="51"/>
      <c r="X133" s="2" t="s">
        <v>610</v>
      </c>
      <c r="Y133" s="51"/>
      <c r="Z133" s="51"/>
      <c r="AA133" s="51"/>
      <c r="AC133" s="79" t="s">
        <v>793</v>
      </c>
      <c r="AE133" s="46" t="s">
        <v>529</v>
      </c>
    </row>
    <row r="134" spans="17:31" ht="15.75" x14ac:dyDescent="0.25">
      <c r="Q134" s="2" t="s">
        <v>515</v>
      </c>
      <c r="S134" s="2" t="s">
        <v>608</v>
      </c>
      <c r="T134" s="51"/>
      <c r="U134" s="51"/>
      <c r="V134" s="51"/>
      <c r="W134" s="51"/>
      <c r="X134" s="2" t="s">
        <v>615</v>
      </c>
      <c r="Y134" s="51"/>
      <c r="Z134" s="51"/>
      <c r="AA134" s="51"/>
      <c r="AC134" t="s">
        <v>1013</v>
      </c>
      <c r="AE134" s="46" t="s">
        <v>530</v>
      </c>
    </row>
    <row r="135" spans="17:31" ht="15.75" x14ac:dyDescent="0.25">
      <c r="Q135" s="2" t="s">
        <v>516</v>
      </c>
      <c r="S135" s="2" t="s">
        <v>603</v>
      </c>
      <c r="T135" s="51"/>
      <c r="U135" s="51"/>
      <c r="V135" s="51"/>
      <c r="W135" s="51"/>
      <c r="X135" s="2" t="s">
        <v>612</v>
      </c>
      <c r="Y135" s="51"/>
      <c r="Z135" s="51"/>
      <c r="AA135" s="51"/>
      <c r="AC135" t="s">
        <v>1014</v>
      </c>
      <c r="AE135" s="46" t="s">
        <v>531</v>
      </c>
    </row>
    <row r="136" spans="17:31" ht="15.75" x14ac:dyDescent="0.25">
      <c r="Q136" s="2" t="s">
        <v>514</v>
      </c>
      <c r="S136" s="2" t="s">
        <v>601</v>
      </c>
      <c r="T136" s="51"/>
      <c r="U136" s="51"/>
      <c r="V136" s="51"/>
      <c r="W136" s="51"/>
      <c r="X136" s="2" t="s">
        <v>614</v>
      </c>
      <c r="Y136" s="51"/>
      <c r="Z136" s="51"/>
      <c r="AA136" s="51"/>
      <c r="AC136" t="s">
        <v>449</v>
      </c>
      <c r="AE136" s="46" t="s">
        <v>968</v>
      </c>
    </row>
    <row r="137" spans="17:31" ht="15.75" x14ac:dyDescent="0.25">
      <c r="Q137" s="2" t="s">
        <v>513</v>
      </c>
      <c r="S137" s="2" t="s">
        <v>602</v>
      </c>
      <c r="T137" s="51"/>
      <c r="U137" s="51"/>
      <c r="V137" s="51"/>
      <c r="W137" s="51"/>
      <c r="X137" s="2" t="s">
        <v>609</v>
      </c>
      <c r="Y137" s="51"/>
      <c r="Z137" s="51"/>
      <c r="AA137" s="51"/>
      <c r="AC137" s="46" t="s">
        <v>636</v>
      </c>
      <c r="AE137" s="46" t="s">
        <v>969</v>
      </c>
    </row>
    <row r="138" spans="17:31" ht="15.75" x14ac:dyDescent="0.25">
      <c r="Q138" s="2" t="s">
        <v>508</v>
      </c>
      <c r="S138" s="2" t="s">
        <v>604</v>
      </c>
      <c r="T138" s="51"/>
      <c r="U138" s="51"/>
      <c r="V138" s="51"/>
      <c r="W138" s="51"/>
      <c r="X138" s="2" t="s">
        <v>616</v>
      </c>
      <c r="Y138" s="51"/>
      <c r="Z138" s="51"/>
      <c r="AA138" s="51"/>
      <c r="AC138" t="s">
        <v>448</v>
      </c>
      <c r="AE138" s="46" t="s">
        <v>970</v>
      </c>
    </row>
    <row r="139" spans="17:31" ht="15.75" x14ac:dyDescent="0.25">
      <c r="Q139" s="2" t="s">
        <v>510</v>
      </c>
      <c r="S139" s="2" t="s">
        <v>607</v>
      </c>
      <c r="T139" s="51"/>
      <c r="U139" s="51"/>
      <c r="V139" s="51"/>
      <c r="W139" s="51"/>
      <c r="X139" s="2" t="s">
        <v>611</v>
      </c>
      <c r="Y139" s="51"/>
      <c r="Z139" s="51"/>
      <c r="AA139" s="51"/>
      <c r="AC139" t="s">
        <v>450</v>
      </c>
      <c r="AE139" s="46" t="s">
        <v>523</v>
      </c>
    </row>
    <row r="140" spans="17:31" ht="15.75" x14ac:dyDescent="0.25">
      <c r="Q140" s="2" t="s">
        <v>517</v>
      </c>
      <c r="S140" s="2"/>
      <c r="T140" s="51"/>
      <c r="U140" s="51"/>
      <c r="V140" s="51"/>
      <c r="W140" s="51"/>
      <c r="X140" s="2"/>
      <c r="Y140" s="51"/>
      <c r="Z140" s="51"/>
      <c r="AA140" s="51"/>
      <c r="AC140" t="s">
        <v>451</v>
      </c>
      <c r="AE140" t="s">
        <v>524</v>
      </c>
    </row>
    <row r="141" spans="17:31" ht="15.75" x14ac:dyDescent="0.25">
      <c r="Q141" s="2" t="s">
        <v>512</v>
      </c>
      <c r="S141" s="80" t="s">
        <v>727</v>
      </c>
      <c r="T141" s="51"/>
      <c r="U141" s="51"/>
      <c r="V141" s="51"/>
      <c r="W141" s="51"/>
      <c r="X141" s="80" t="s">
        <v>726</v>
      </c>
      <c r="Y141" s="51"/>
      <c r="Z141" s="51"/>
      <c r="AA141" s="51"/>
      <c r="AC141" s="46" t="s">
        <v>269</v>
      </c>
      <c r="AE141" t="s">
        <v>971</v>
      </c>
    </row>
    <row r="142" spans="17:31" ht="15.75" x14ac:dyDescent="0.25">
      <c r="Q142" s="2" t="s">
        <v>511</v>
      </c>
      <c r="S142" s="2" t="s">
        <v>613</v>
      </c>
      <c r="T142" s="51"/>
      <c r="U142" s="51"/>
      <c r="V142" s="51"/>
      <c r="W142" s="51"/>
      <c r="X142" s="2" t="s">
        <v>568</v>
      </c>
      <c r="Y142" s="51"/>
      <c r="Z142" s="51"/>
      <c r="AA142" s="51"/>
      <c r="AC142" s="46" t="s">
        <v>266</v>
      </c>
      <c r="AE142" t="s">
        <v>972</v>
      </c>
    </row>
    <row r="143" spans="17:31" ht="15.75" x14ac:dyDescent="0.25">
      <c r="Q143" s="2" t="s">
        <v>509</v>
      </c>
      <c r="S143" s="2" t="s">
        <v>610</v>
      </c>
      <c r="T143" s="51"/>
      <c r="U143" s="51"/>
      <c r="V143" s="51"/>
      <c r="W143" s="51"/>
      <c r="X143" s="2" t="s">
        <v>571</v>
      </c>
      <c r="Y143" s="51"/>
      <c r="Z143" s="51"/>
      <c r="AA143" s="51"/>
      <c r="AC143" s="46" t="s">
        <v>751</v>
      </c>
      <c r="AE143" t="s">
        <v>973</v>
      </c>
    </row>
    <row r="144" spans="17:31" ht="15.75" x14ac:dyDescent="0.25">
      <c r="Q144" s="2"/>
      <c r="S144" s="2" t="s">
        <v>615</v>
      </c>
      <c r="T144" s="51"/>
      <c r="U144" s="51"/>
      <c r="V144" s="51"/>
      <c r="W144" s="51"/>
      <c r="X144" s="2" t="s">
        <v>569</v>
      </c>
      <c r="Y144" s="51"/>
      <c r="Z144" s="51"/>
      <c r="AA144" s="51"/>
      <c r="AC144" s="46" t="s">
        <v>325</v>
      </c>
      <c r="AE144" t="s">
        <v>975</v>
      </c>
    </row>
    <row r="145" spans="17:31" ht="15.75" x14ac:dyDescent="0.25">
      <c r="Q145" s="71" t="s">
        <v>727</v>
      </c>
      <c r="S145" s="2" t="s">
        <v>612</v>
      </c>
      <c r="T145" s="51"/>
      <c r="U145" s="51"/>
      <c r="V145" s="51"/>
      <c r="W145" s="51"/>
      <c r="X145" s="2" t="s">
        <v>570</v>
      </c>
      <c r="Y145" s="51"/>
      <c r="Z145" s="51"/>
      <c r="AA145" s="51"/>
      <c r="AC145" s="46" t="s">
        <v>862</v>
      </c>
      <c r="AE145" t="s">
        <v>976</v>
      </c>
    </row>
    <row r="146" spans="17:31" ht="15.75" x14ac:dyDescent="0.25">
      <c r="Q146" s="2" t="s">
        <v>613</v>
      </c>
      <c r="S146" s="2" t="s">
        <v>614</v>
      </c>
      <c r="T146" s="51"/>
      <c r="U146" s="51"/>
      <c r="V146" s="51"/>
      <c r="W146" s="51"/>
      <c r="X146" s="2" t="s">
        <v>573</v>
      </c>
      <c r="Y146" s="51"/>
      <c r="Z146" s="51"/>
      <c r="AA146" s="51"/>
      <c r="AC146" s="46" t="s">
        <v>286</v>
      </c>
      <c r="AE146" t="s">
        <v>977</v>
      </c>
    </row>
    <row r="147" spans="17:31" ht="15.75" x14ac:dyDescent="0.25">
      <c r="Q147" s="2" t="s">
        <v>610</v>
      </c>
      <c r="S147" s="2" t="s">
        <v>609</v>
      </c>
      <c r="T147" s="51"/>
      <c r="U147" s="51"/>
      <c r="V147" s="51"/>
      <c r="W147" s="51"/>
      <c r="X147" s="2" t="s">
        <v>572</v>
      </c>
      <c r="Y147" s="51"/>
      <c r="Z147" s="51"/>
      <c r="AA147" s="51"/>
      <c r="AC147" s="46" t="s">
        <v>273</v>
      </c>
      <c r="AE147" t="s">
        <v>978</v>
      </c>
    </row>
    <row r="148" spans="17:31" ht="15.75" x14ac:dyDescent="0.25">
      <c r="Q148" s="2" t="s">
        <v>615</v>
      </c>
      <c r="S148" s="2" t="s">
        <v>616</v>
      </c>
      <c r="T148" s="51"/>
      <c r="U148" s="51"/>
      <c r="V148" s="51"/>
      <c r="W148" s="51"/>
      <c r="X148" s="2" t="s">
        <v>567</v>
      </c>
      <c r="Y148" s="51"/>
      <c r="Z148" s="51"/>
      <c r="AA148" s="51"/>
      <c r="AC148" s="46" t="s">
        <v>682</v>
      </c>
      <c r="AE148" t="s">
        <v>979</v>
      </c>
    </row>
    <row r="149" spans="17:31" ht="15.75" x14ac:dyDescent="0.25">
      <c r="Q149" s="2" t="s">
        <v>618</v>
      </c>
      <c r="S149" s="2" t="s">
        <v>611</v>
      </c>
      <c r="T149" s="51"/>
      <c r="U149" s="51"/>
      <c r="V149" s="51"/>
      <c r="W149" s="51"/>
      <c r="X149" s="2"/>
      <c r="Y149" s="51"/>
      <c r="Z149" s="51"/>
      <c r="AA149" s="51"/>
      <c r="AC149" s="46" t="s">
        <v>272</v>
      </c>
      <c r="AE149" t="s">
        <v>980</v>
      </c>
    </row>
    <row r="150" spans="17:31" ht="15.75" x14ac:dyDescent="0.25">
      <c r="Q150" s="2" t="s">
        <v>619</v>
      </c>
      <c r="S150" s="2"/>
      <c r="T150" s="51"/>
      <c r="U150" s="51"/>
      <c r="V150" s="51"/>
      <c r="W150" s="51"/>
      <c r="X150" s="80" t="s">
        <v>725</v>
      </c>
      <c r="Y150" s="51"/>
      <c r="Z150" s="51"/>
      <c r="AA150" s="51"/>
      <c r="AC150" s="46" t="s">
        <v>285</v>
      </c>
      <c r="AE150" t="s">
        <v>981</v>
      </c>
    </row>
    <row r="151" spans="17:31" ht="15.75" x14ac:dyDescent="0.25">
      <c r="Q151" s="2" t="s">
        <v>620</v>
      </c>
      <c r="S151" s="80" t="s">
        <v>726</v>
      </c>
      <c r="T151" s="51"/>
      <c r="U151" s="51"/>
      <c r="V151" s="51"/>
      <c r="W151" s="51"/>
      <c r="X151" s="2" t="s">
        <v>561</v>
      </c>
      <c r="Y151" s="51"/>
      <c r="Z151" s="51"/>
      <c r="AA151" s="51"/>
      <c r="AC151" s="46" t="s">
        <v>677</v>
      </c>
      <c r="AE151" t="s">
        <v>982</v>
      </c>
    </row>
    <row r="152" spans="17:31" ht="15.75" x14ac:dyDescent="0.25">
      <c r="Q152" s="2" t="s">
        <v>612</v>
      </c>
      <c r="S152" s="2" t="s">
        <v>568</v>
      </c>
      <c r="T152" s="51"/>
      <c r="U152" s="51"/>
      <c r="V152" s="51"/>
      <c r="W152" s="51"/>
      <c r="X152" s="2" t="s">
        <v>558</v>
      </c>
      <c r="Y152" s="51"/>
      <c r="Z152" s="51"/>
      <c r="AA152" s="51"/>
      <c r="AC152" s="46" t="s">
        <v>282</v>
      </c>
      <c r="AE152" t="s">
        <v>983</v>
      </c>
    </row>
    <row r="153" spans="17:31" ht="15.75" x14ac:dyDescent="0.25">
      <c r="Q153" s="2" t="s">
        <v>614</v>
      </c>
      <c r="S153" s="2" t="s">
        <v>571</v>
      </c>
      <c r="T153" s="51"/>
      <c r="U153" s="51"/>
      <c r="V153" s="51"/>
      <c r="W153" s="51"/>
      <c r="X153" s="2" t="s">
        <v>557</v>
      </c>
      <c r="Y153" s="51"/>
      <c r="Z153" s="51"/>
      <c r="AA153" s="51"/>
      <c r="AC153" s="46" t="s">
        <v>270</v>
      </c>
      <c r="AE153" t="s">
        <v>984</v>
      </c>
    </row>
    <row r="154" spans="17:31" ht="15.75" x14ac:dyDescent="0.25">
      <c r="Q154" s="2" t="s">
        <v>609</v>
      </c>
      <c r="S154" s="2" t="s">
        <v>569</v>
      </c>
      <c r="T154" s="51"/>
      <c r="U154" s="51"/>
      <c r="V154" s="51"/>
      <c r="W154" s="51"/>
      <c r="X154" s="2" t="s">
        <v>555</v>
      </c>
      <c r="Y154" s="51"/>
      <c r="Z154" s="51"/>
      <c r="AA154" s="51"/>
      <c r="AC154" s="46" t="s">
        <v>284</v>
      </c>
      <c r="AE154" t="s">
        <v>525</v>
      </c>
    </row>
    <row r="155" spans="17:31" ht="15.75" x14ac:dyDescent="0.25">
      <c r="Q155" s="2" t="s">
        <v>617</v>
      </c>
      <c r="S155" s="2" t="s">
        <v>570</v>
      </c>
      <c r="T155" s="51"/>
      <c r="U155" s="51"/>
      <c r="V155" s="51"/>
      <c r="W155" s="51"/>
      <c r="X155" s="2" t="s">
        <v>556</v>
      </c>
      <c r="Y155" s="51"/>
      <c r="Z155" s="51"/>
      <c r="AA155" s="51"/>
      <c r="AC155" s="46" t="s">
        <v>678</v>
      </c>
      <c r="AE155" t="s">
        <v>532</v>
      </c>
    </row>
    <row r="156" spans="17:31" ht="15.75" x14ac:dyDescent="0.25">
      <c r="Q156" s="2" t="s">
        <v>616</v>
      </c>
      <c r="S156" s="2" t="s">
        <v>573</v>
      </c>
      <c r="T156" s="51"/>
      <c r="U156" s="51"/>
      <c r="V156" s="51"/>
      <c r="W156" s="51"/>
      <c r="X156" s="2" t="s">
        <v>559</v>
      </c>
      <c r="Y156" s="51"/>
      <c r="Z156" s="51"/>
      <c r="AA156" s="51"/>
      <c r="AC156" s="46" t="s">
        <v>277</v>
      </c>
      <c r="AE156" t="s">
        <v>533</v>
      </c>
    </row>
    <row r="157" spans="17:31" ht="15.75" x14ac:dyDescent="0.25">
      <c r="Q157" s="2" t="s">
        <v>611</v>
      </c>
      <c r="S157" s="2" t="s">
        <v>572</v>
      </c>
      <c r="T157" s="51"/>
      <c r="U157" s="51"/>
      <c r="V157" s="51"/>
      <c r="W157" s="51"/>
      <c r="X157" s="2" t="s">
        <v>560</v>
      </c>
      <c r="Y157" s="51"/>
      <c r="Z157" s="51"/>
      <c r="AA157" s="51"/>
      <c r="AC157" s="46" t="s">
        <v>276</v>
      </c>
      <c r="AE157" t="s">
        <v>534</v>
      </c>
    </row>
    <row r="158" spans="17:31" ht="15.75" x14ac:dyDescent="0.25">
      <c r="Q158" s="2"/>
      <c r="S158" s="2" t="s">
        <v>567</v>
      </c>
      <c r="T158" s="51"/>
      <c r="U158" s="51"/>
      <c r="V158" s="51"/>
      <c r="W158" s="51"/>
      <c r="X158" s="51"/>
      <c r="Y158" s="51"/>
      <c r="Z158" s="51"/>
      <c r="AA158" s="51"/>
      <c r="AC158" s="46" t="s">
        <v>275</v>
      </c>
      <c r="AE158" t="s">
        <v>535</v>
      </c>
    </row>
    <row r="159" spans="17:31" ht="15.75" x14ac:dyDescent="0.25">
      <c r="S159" s="2"/>
      <c r="T159" s="51"/>
      <c r="U159" s="51"/>
      <c r="V159" s="51"/>
      <c r="W159" s="51"/>
      <c r="X159" s="51"/>
      <c r="Y159" s="51"/>
      <c r="Z159" s="51"/>
      <c r="AA159" s="51"/>
      <c r="AC159" s="46" t="s">
        <v>679</v>
      </c>
      <c r="AE159" t="s">
        <v>537</v>
      </c>
    </row>
    <row r="160" spans="17:31" ht="15.75" x14ac:dyDescent="0.25">
      <c r="S160" s="80" t="s">
        <v>725</v>
      </c>
      <c r="T160" s="51"/>
      <c r="U160" s="51"/>
      <c r="V160" s="51"/>
      <c r="W160" s="51"/>
      <c r="X160" s="51"/>
      <c r="Y160" s="51"/>
      <c r="Z160" s="51"/>
      <c r="AA160" s="51"/>
      <c r="AC160" s="46" t="s">
        <v>274</v>
      </c>
      <c r="AE160" t="s">
        <v>536</v>
      </c>
    </row>
    <row r="161" spans="19:31" ht="15.75" x14ac:dyDescent="0.25">
      <c r="S161" s="2" t="s">
        <v>561</v>
      </c>
      <c r="T161" s="51"/>
      <c r="U161" s="51"/>
      <c r="V161" s="51"/>
      <c r="W161" s="51"/>
      <c r="X161" s="51"/>
      <c r="Y161" s="51"/>
      <c r="Z161" s="51"/>
      <c r="AA161" s="51"/>
      <c r="AC161" s="46" t="s">
        <v>327</v>
      </c>
      <c r="AE161" t="s">
        <v>538</v>
      </c>
    </row>
    <row r="162" spans="19:31" ht="15.75" x14ac:dyDescent="0.25">
      <c r="S162" s="2" t="s">
        <v>558</v>
      </c>
      <c r="T162" s="51"/>
      <c r="U162" s="51"/>
      <c r="V162" s="51"/>
      <c r="W162" s="51"/>
      <c r="X162" s="51"/>
      <c r="Y162" s="51"/>
      <c r="Z162" s="51"/>
      <c r="AA162" s="51"/>
      <c r="AC162" s="46" t="s">
        <v>278</v>
      </c>
      <c r="AE162" t="s">
        <v>526</v>
      </c>
    </row>
    <row r="163" spans="19:31" ht="15.75" x14ac:dyDescent="0.25">
      <c r="S163" s="2" t="s">
        <v>557</v>
      </c>
      <c r="T163" s="51"/>
      <c r="U163" s="51"/>
      <c r="V163" s="51"/>
      <c r="W163" s="51"/>
      <c r="X163" s="51"/>
      <c r="Y163" s="51"/>
      <c r="Z163" s="51"/>
      <c r="AA163" s="51"/>
      <c r="AC163" s="46" t="s">
        <v>681</v>
      </c>
      <c r="AE163" t="s">
        <v>974</v>
      </c>
    </row>
    <row r="164" spans="19:31" ht="15.75" x14ac:dyDescent="0.25">
      <c r="S164" s="2" t="s">
        <v>555</v>
      </c>
      <c r="T164" s="51"/>
      <c r="U164" s="51"/>
      <c r="V164" s="51"/>
      <c r="W164" s="51"/>
      <c r="X164" s="51"/>
      <c r="Y164" s="51"/>
      <c r="Z164" s="51"/>
      <c r="AA164" s="51"/>
      <c r="AC164" s="46" t="s">
        <v>680</v>
      </c>
      <c r="AE164" s="43" t="s">
        <v>746</v>
      </c>
    </row>
    <row r="165" spans="19:31" ht="15.75" x14ac:dyDescent="0.25">
      <c r="S165" s="2" t="s">
        <v>556</v>
      </c>
      <c r="T165" s="51"/>
      <c r="U165" s="51"/>
      <c r="V165" s="51"/>
      <c r="W165" s="51"/>
      <c r="X165" s="51"/>
      <c r="Y165" s="51"/>
      <c r="Z165" s="51"/>
      <c r="AA165" s="51"/>
      <c r="AC165" s="46" t="s">
        <v>283</v>
      </c>
      <c r="AE165" s="70" t="s">
        <v>714</v>
      </c>
    </row>
    <row r="166" spans="19:31" ht="15.75" x14ac:dyDescent="0.25">
      <c r="S166" s="2" t="s">
        <v>559</v>
      </c>
      <c r="T166" s="51"/>
      <c r="U166" s="51"/>
      <c r="V166" s="51"/>
      <c r="W166" s="51"/>
      <c r="X166" s="51"/>
      <c r="Y166" s="51"/>
      <c r="Z166" s="51"/>
      <c r="AA166" s="51"/>
      <c r="AC166" s="46" t="s">
        <v>271</v>
      </c>
      <c r="AE166" t="s">
        <v>954</v>
      </c>
    </row>
    <row r="167" spans="19:31" ht="15.75" x14ac:dyDescent="0.25">
      <c r="S167" s="2" t="s">
        <v>560</v>
      </c>
      <c r="T167" s="51"/>
      <c r="U167" s="51"/>
      <c r="V167" s="51"/>
      <c r="W167" s="51"/>
      <c r="X167" s="51"/>
      <c r="Y167" s="51"/>
      <c r="Z167" s="51"/>
      <c r="AA167" s="51"/>
      <c r="AC167" s="46" t="s">
        <v>637</v>
      </c>
      <c r="AE167" t="s">
        <v>955</v>
      </c>
    </row>
    <row r="168" spans="19:31" ht="15.75" x14ac:dyDescent="0.25">
      <c r="S168" s="51"/>
      <c r="T168" s="51"/>
      <c r="U168" s="51"/>
      <c r="V168" s="51"/>
      <c r="W168" s="51"/>
      <c r="X168" s="51"/>
      <c r="Y168" s="51"/>
      <c r="Z168" s="51"/>
      <c r="AA168" s="51"/>
      <c r="AC168" s="46" t="s">
        <v>267</v>
      </c>
      <c r="AE168" t="s">
        <v>956</v>
      </c>
    </row>
    <row r="169" spans="19:31" ht="15.75" x14ac:dyDescent="0.25">
      <c r="S169" s="51"/>
      <c r="T169" s="51"/>
      <c r="U169" s="51"/>
      <c r="V169" s="51"/>
      <c r="W169" s="51"/>
      <c r="X169" s="51"/>
      <c r="Y169" s="51"/>
      <c r="Z169" s="51"/>
      <c r="AA169" s="51"/>
      <c r="AC169" s="46" t="s">
        <v>487</v>
      </c>
      <c r="AE169" t="s">
        <v>413</v>
      </c>
    </row>
    <row r="170" spans="19:31" ht="15.75" x14ac:dyDescent="0.25">
      <c r="S170" s="51"/>
      <c r="T170" s="51"/>
      <c r="U170" s="51"/>
      <c r="V170" s="51"/>
      <c r="W170" s="51"/>
      <c r="X170" s="51"/>
      <c r="Y170" s="51"/>
      <c r="Z170" s="51"/>
      <c r="AA170" s="51"/>
      <c r="AC170" s="46" t="s">
        <v>638</v>
      </c>
      <c r="AE170" t="s">
        <v>504</v>
      </c>
    </row>
    <row r="171" spans="19:31" ht="15.75" x14ac:dyDescent="0.25">
      <c r="S171" s="51"/>
      <c r="T171" s="51"/>
      <c r="U171" s="51"/>
      <c r="V171" s="51"/>
      <c r="W171" s="51"/>
      <c r="X171" s="51"/>
      <c r="Y171" s="51"/>
      <c r="Z171" s="51"/>
      <c r="AA171" s="51"/>
      <c r="AC171" s="100" t="s">
        <v>794</v>
      </c>
      <c r="AE171" t="s">
        <v>957</v>
      </c>
    </row>
    <row r="172" spans="19:31" ht="15.75" x14ac:dyDescent="0.25">
      <c r="S172" s="51"/>
      <c r="T172" s="51"/>
      <c r="U172" s="51"/>
      <c r="V172" s="51"/>
      <c r="W172" s="51"/>
      <c r="X172" s="51"/>
      <c r="Y172" s="51"/>
      <c r="Z172" s="51"/>
      <c r="AA172" s="51"/>
      <c r="AC172" s="46" t="s">
        <v>265</v>
      </c>
      <c r="AE172" t="s">
        <v>958</v>
      </c>
    </row>
    <row r="173" spans="19:31" ht="15.75" x14ac:dyDescent="0.25">
      <c r="S173" s="51"/>
      <c r="T173" s="51"/>
      <c r="U173" s="51"/>
      <c r="V173" s="51"/>
      <c r="W173" s="51"/>
      <c r="X173" s="51"/>
      <c r="Y173" s="51"/>
      <c r="Z173" s="51"/>
      <c r="AA173" s="51"/>
      <c r="AC173" s="46" t="s">
        <v>339</v>
      </c>
      <c r="AE173" t="s">
        <v>959</v>
      </c>
    </row>
    <row r="174" spans="19:31" ht="15.75" x14ac:dyDescent="0.25">
      <c r="S174" s="51"/>
      <c r="T174" s="51"/>
      <c r="U174" s="51"/>
      <c r="V174" s="51"/>
      <c r="W174" s="51"/>
      <c r="X174" s="51"/>
      <c r="Y174" s="51"/>
      <c r="Z174" s="51"/>
      <c r="AA174" s="51"/>
      <c r="AC174" s="46" t="s">
        <v>340</v>
      </c>
      <c r="AE174" t="s">
        <v>960</v>
      </c>
    </row>
    <row r="175" spans="19:31" ht="15.75" x14ac:dyDescent="0.25">
      <c r="S175" s="51"/>
      <c r="T175" s="51"/>
      <c r="U175" s="51"/>
      <c r="V175" s="51"/>
      <c r="W175" s="51"/>
      <c r="X175" s="51"/>
      <c r="Y175" s="51"/>
      <c r="Z175" s="51"/>
      <c r="AA175" s="51"/>
      <c r="AC175" s="46" t="s">
        <v>577</v>
      </c>
      <c r="AE175" t="s">
        <v>416</v>
      </c>
    </row>
    <row r="176" spans="19:31" ht="15.75" x14ac:dyDescent="0.25">
      <c r="S176" s="51"/>
      <c r="T176" s="51"/>
      <c r="U176" s="51"/>
      <c r="V176" s="51"/>
      <c r="W176" s="51"/>
      <c r="X176" s="51"/>
      <c r="Y176" s="51"/>
      <c r="Z176" s="51"/>
      <c r="AA176" s="51"/>
      <c r="AC176" s="46" t="s">
        <v>342</v>
      </c>
      <c r="AE176" t="s">
        <v>961</v>
      </c>
    </row>
    <row r="177" spans="19:31" ht="15.75" x14ac:dyDescent="0.25">
      <c r="S177" s="51"/>
      <c r="T177" s="51"/>
      <c r="U177" s="51"/>
      <c r="V177" s="51"/>
      <c r="W177" s="51"/>
      <c r="X177" s="51"/>
      <c r="Y177" s="51"/>
      <c r="Z177" s="51"/>
      <c r="AA177" s="51"/>
      <c r="AC177" s="46" t="s">
        <v>337</v>
      </c>
      <c r="AE177" t="s">
        <v>962</v>
      </c>
    </row>
    <row r="178" spans="19:31" ht="15.75" x14ac:dyDescent="0.25">
      <c r="S178" s="51"/>
      <c r="T178" s="51"/>
      <c r="U178" s="51"/>
      <c r="V178" s="51"/>
      <c r="W178" s="51"/>
      <c r="X178" s="51"/>
      <c r="Y178" s="51"/>
      <c r="Z178" s="51"/>
      <c r="AA178" s="51"/>
      <c r="AC178" s="46" t="s">
        <v>343</v>
      </c>
      <c r="AE178" t="s">
        <v>963</v>
      </c>
    </row>
    <row r="179" spans="19:31" ht="15.75" x14ac:dyDescent="0.25">
      <c r="S179" s="51"/>
      <c r="T179" s="51"/>
      <c r="U179" s="51"/>
      <c r="V179" s="51"/>
      <c r="W179" s="51"/>
      <c r="X179" s="51"/>
      <c r="Y179" s="51"/>
      <c r="Z179" s="51"/>
      <c r="AA179" s="51"/>
      <c r="AC179" s="46" t="s">
        <v>338</v>
      </c>
      <c r="AE179" t="s">
        <v>964</v>
      </c>
    </row>
    <row r="180" spans="19:31" ht="15.75" x14ac:dyDescent="0.25">
      <c r="S180" s="51"/>
      <c r="T180" s="51"/>
      <c r="U180" s="51"/>
      <c r="V180" s="51"/>
      <c r="W180" s="51"/>
      <c r="X180" s="51"/>
      <c r="Y180" s="51"/>
      <c r="Z180" s="51"/>
      <c r="AA180" s="51"/>
      <c r="AC180" s="46" t="s">
        <v>345</v>
      </c>
      <c r="AE180" t="s">
        <v>418</v>
      </c>
    </row>
    <row r="181" spans="19:31" ht="15.75" x14ac:dyDescent="0.25">
      <c r="S181" s="51"/>
      <c r="T181" s="51"/>
      <c r="U181" s="51"/>
      <c r="V181" s="51"/>
      <c r="W181" s="51"/>
      <c r="X181" s="51"/>
      <c r="Y181" s="51"/>
      <c r="Z181" s="51"/>
      <c r="AA181" s="51"/>
      <c r="AC181" s="46" t="s">
        <v>578</v>
      </c>
      <c r="AE181" t="s">
        <v>965</v>
      </c>
    </row>
    <row r="182" spans="19:31" ht="15.75" x14ac:dyDescent="0.25">
      <c r="S182" s="51"/>
      <c r="T182" s="51"/>
      <c r="U182" s="51"/>
      <c r="V182" s="51"/>
      <c r="W182" s="51"/>
      <c r="X182" s="51"/>
      <c r="Y182" s="51"/>
      <c r="Z182" s="51"/>
      <c r="AA182" s="51"/>
      <c r="AC182" s="46" t="s">
        <v>344</v>
      </c>
      <c r="AE182" t="s">
        <v>966</v>
      </c>
    </row>
    <row r="183" spans="19:31" ht="15.75" x14ac:dyDescent="0.25">
      <c r="S183" s="51"/>
      <c r="T183" s="51"/>
      <c r="U183" s="51"/>
      <c r="V183" s="51"/>
      <c r="W183" s="51"/>
      <c r="X183" s="51"/>
      <c r="Y183" s="51"/>
      <c r="Z183" s="51"/>
      <c r="AA183" s="51"/>
      <c r="AC183" s="46" t="s">
        <v>336</v>
      </c>
      <c r="AE183" s="70" t="s">
        <v>715</v>
      </c>
    </row>
    <row r="184" spans="19:31" ht="15.75" x14ac:dyDescent="0.25">
      <c r="S184" s="51"/>
      <c r="T184" s="51"/>
      <c r="U184" s="51"/>
      <c r="V184" s="51"/>
      <c r="W184" s="51"/>
      <c r="X184" s="51"/>
      <c r="Y184" s="51"/>
      <c r="Z184" s="51"/>
      <c r="AA184" s="51"/>
      <c r="AC184" s="46" t="s">
        <v>341</v>
      </c>
      <c r="AE184" s="70" t="s">
        <v>397</v>
      </c>
    </row>
    <row r="185" spans="19:31" ht="15.75" x14ac:dyDescent="0.25">
      <c r="S185" s="51"/>
      <c r="T185" s="51"/>
      <c r="U185" s="51"/>
      <c r="V185" s="51"/>
      <c r="W185" s="51"/>
      <c r="X185" s="51"/>
      <c r="Y185" s="51"/>
      <c r="Z185" s="51"/>
      <c r="AA185" s="51"/>
      <c r="AC185" s="100" t="s">
        <v>795</v>
      </c>
      <c r="AE185" s="70" t="s">
        <v>398</v>
      </c>
    </row>
    <row r="186" spans="19:31" ht="15.75" x14ac:dyDescent="0.25">
      <c r="S186" s="51"/>
      <c r="T186" s="51"/>
      <c r="U186" s="51"/>
      <c r="V186" s="51"/>
      <c r="W186" s="51"/>
      <c r="X186" s="51"/>
      <c r="Y186" s="51"/>
      <c r="Z186" s="51"/>
      <c r="AA186" s="51"/>
      <c r="AC186" s="70" t="s">
        <v>291</v>
      </c>
      <c r="AE186" s="70" t="s">
        <v>853</v>
      </c>
    </row>
    <row r="187" spans="19:31" ht="15.75" x14ac:dyDescent="0.25">
      <c r="S187" s="51"/>
      <c r="T187" s="51"/>
      <c r="U187" s="51"/>
      <c r="V187" s="51"/>
      <c r="W187" s="51"/>
      <c r="X187" s="51"/>
      <c r="Y187" s="51"/>
      <c r="Z187" s="51"/>
      <c r="AA187" s="51"/>
      <c r="AC187" s="70" t="s">
        <v>293</v>
      </c>
      <c r="AE187" s="70" t="s">
        <v>399</v>
      </c>
    </row>
    <row r="188" spans="19:31" ht="15.75" x14ac:dyDescent="0.25">
      <c r="S188" s="51"/>
      <c r="T188" s="51"/>
      <c r="U188" s="51"/>
      <c r="V188" s="51"/>
      <c r="W188" s="51"/>
      <c r="X188" s="51"/>
      <c r="Y188" s="51"/>
      <c r="Z188" s="51"/>
      <c r="AA188" s="51"/>
      <c r="AC188" s="70" t="s">
        <v>576</v>
      </c>
      <c r="AE188" s="70" t="s">
        <v>716</v>
      </c>
    </row>
    <row r="189" spans="19:31" ht="15.75" x14ac:dyDescent="0.25">
      <c r="S189" s="51"/>
      <c r="T189" s="51"/>
      <c r="U189" s="51"/>
      <c r="V189" s="51"/>
      <c r="W189" s="51"/>
      <c r="X189" s="51"/>
      <c r="Y189" s="51"/>
      <c r="Z189" s="51"/>
      <c r="AA189" s="51"/>
      <c r="AC189" s="70" t="s">
        <v>294</v>
      </c>
      <c r="AE189" s="70" t="s">
        <v>896</v>
      </c>
    </row>
    <row r="190" spans="19:31" ht="15.75" x14ac:dyDescent="0.25">
      <c r="S190" s="51"/>
      <c r="T190" s="51"/>
      <c r="U190" s="51"/>
      <c r="V190" s="51"/>
      <c r="W190" s="51"/>
      <c r="X190" s="51"/>
      <c r="Y190" s="51"/>
      <c r="Z190" s="51"/>
      <c r="AA190" s="51"/>
      <c r="AC190" s="70" t="s">
        <v>288</v>
      </c>
      <c r="AE190" s="70" t="s">
        <v>717</v>
      </c>
    </row>
    <row r="191" spans="19:31" ht="15.75" x14ac:dyDescent="0.25">
      <c r="S191" s="51"/>
      <c r="T191" s="51"/>
      <c r="U191" s="51"/>
      <c r="V191" s="51"/>
      <c r="W191" s="51"/>
      <c r="X191" s="51"/>
      <c r="Y191" s="51"/>
      <c r="Z191" s="51"/>
      <c r="AA191" s="51"/>
      <c r="AC191" s="70" t="s">
        <v>295</v>
      </c>
      <c r="AE191" s="70" t="s">
        <v>718</v>
      </c>
    </row>
    <row r="192" spans="19:31" ht="15.75" x14ac:dyDescent="0.25">
      <c r="S192" s="51"/>
      <c r="T192" s="51"/>
      <c r="U192" s="51"/>
      <c r="V192" s="51"/>
      <c r="W192" s="51"/>
      <c r="X192" s="51"/>
      <c r="Y192" s="51"/>
      <c r="Z192" s="51"/>
      <c r="AA192" s="51"/>
      <c r="AC192" s="70" t="s">
        <v>289</v>
      </c>
      <c r="AE192" s="70" t="s">
        <v>719</v>
      </c>
    </row>
    <row r="193" spans="19:31" ht="15.75" x14ac:dyDescent="0.25">
      <c r="S193" s="51"/>
      <c r="T193" s="51"/>
      <c r="U193" s="51"/>
      <c r="V193" s="51"/>
      <c r="W193" s="51"/>
      <c r="X193" s="51"/>
      <c r="Y193" s="51"/>
      <c r="Z193" s="51"/>
      <c r="AA193" s="51"/>
      <c r="AC193" s="70" t="s">
        <v>290</v>
      </c>
      <c r="AE193" s="70" t="s">
        <v>400</v>
      </c>
    </row>
    <row r="194" spans="19:31" ht="15.75" x14ac:dyDescent="0.25">
      <c r="S194" s="51"/>
      <c r="T194" s="51"/>
      <c r="U194" s="51"/>
      <c r="V194" s="51"/>
      <c r="W194" s="51"/>
      <c r="X194" s="51"/>
      <c r="Y194" s="51"/>
      <c r="Z194" s="51"/>
      <c r="AA194" s="51"/>
      <c r="AC194" s="70" t="s">
        <v>297</v>
      </c>
      <c r="AE194" s="70" t="s">
        <v>401</v>
      </c>
    </row>
    <row r="195" spans="19:31" ht="15.75" x14ac:dyDescent="0.25">
      <c r="S195" s="51"/>
      <c r="T195" s="51"/>
      <c r="U195" s="51"/>
      <c r="V195" s="51"/>
      <c r="W195" s="51"/>
      <c r="X195" s="51"/>
      <c r="Y195" s="51"/>
      <c r="Z195" s="51"/>
      <c r="AA195" s="51"/>
      <c r="AC195" s="70" t="s">
        <v>579</v>
      </c>
      <c r="AE195" s="70" t="s">
        <v>402</v>
      </c>
    </row>
    <row r="196" spans="19:31" ht="15.75" x14ac:dyDescent="0.25">
      <c r="S196" s="51"/>
      <c r="T196" s="51"/>
      <c r="U196" s="51"/>
      <c r="V196" s="51"/>
      <c r="W196" s="51"/>
      <c r="X196" s="51"/>
      <c r="Y196" s="51"/>
      <c r="Z196" s="51"/>
      <c r="AA196" s="51"/>
      <c r="AC196" s="70" t="s">
        <v>296</v>
      </c>
      <c r="AE196" s="70" t="s">
        <v>720</v>
      </c>
    </row>
    <row r="197" spans="19:31" ht="15.75" x14ac:dyDescent="0.25">
      <c r="S197" s="51"/>
      <c r="T197" s="51"/>
      <c r="U197" s="51"/>
      <c r="V197" s="51"/>
      <c r="W197" s="51"/>
      <c r="X197" s="51"/>
      <c r="Y197" s="51"/>
      <c r="Z197" s="51"/>
      <c r="AA197" s="51"/>
      <c r="AC197" s="70" t="s">
        <v>287</v>
      </c>
      <c r="AE197" s="43" t="s">
        <v>747</v>
      </c>
    </row>
    <row r="198" spans="19:31" ht="15.75" x14ac:dyDescent="0.25">
      <c r="S198" s="51"/>
      <c r="T198" s="51"/>
      <c r="U198" s="51"/>
      <c r="V198" s="51"/>
      <c r="W198" s="51"/>
      <c r="X198" s="51"/>
      <c r="Y198" s="51"/>
      <c r="Z198" s="51"/>
      <c r="AA198" s="51"/>
      <c r="AC198" s="70" t="s">
        <v>292</v>
      </c>
      <c r="AE198" s="101" t="s">
        <v>238</v>
      </c>
    </row>
    <row r="199" spans="19:31" ht="15.75" x14ac:dyDescent="0.25">
      <c r="S199" s="51"/>
      <c r="T199" s="51"/>
      <c r="U199" s="51"/>
      <c r="V199" s="51"/>
      <c r="W199" s="51"/>
      <c r="X199" s="51"/>
      <c r="Y199" s="51"/>
      <c r="Z199" s="51"/>
      <c r="AA199" s="51"/>
      <c r="AC199" s="70" t="s">
        <v>324</v>
      </c>
      <c r="AE199" s="101" t="s">
        <v>77</v>
      </c>
    </row>
    <row r="200" spans="19:31" ht="15.75" x14ac:dyDescent="0.25">
      <c r="S200" s="51"/>
      <c r="T200" s="51"/>
      <c r="U200" s="51"/>
      <c r="V200" s="51"/>
      <c r="W200" s="51"/>
      <c r="X200" s="51"/>
      <c r="Y200" s="51"/>
      <c r="Z200" s="51"/>
      <c r="AA200" s="51"/>
      <c r="AE200" s="101" t="s">
        <v>79</v>
      </c>
    </row>
    <row r="201" spans="19:31" ht="15.75" x14ac:dyDescent="0.25">
      <c r="S201" s="51"/>
      <c r="T201" s="51"/>
      <c r="U201" s="51"/>
      <c r="V201" s="51"/>
      <c r="W201" s="51"/>
      <c r="X201" s="51"/>
      <c r="Y201" s="51"/>
      <c r="Z201" s="51"/>
      <c r="AA201" s="51"/>
      <c r="AC201" s="10" t="s">
        <v>553</v>
      </c>
      <c r="AE201" s="101" t="s">
        <v>483</v>
      </c>
    </row>
    <row r="202" spans="19:31" ht="15.75" x14ac:dyDescent="0.25">
      <c r="S202" s="51"/>
      <c r="T202" s="51"/>
      <c r="U202" s="51"/>
      <c r="V202" s="51"/>
      <c r="W202" s="51"/>
      <c r="X202" s="51"/>
      <c r="Y202" s="51"/>
      <c r="Z202" s="51"/>
      <c r="AA202" s="51"/>
      <c r="AC202" s="43" t="s">
        <v>790</v>
      </c>
      <c r="AE202" s="101" t="s">
        <v>635</v>
      </c>
    </row>
    <row r="203" spans="19:31" ht="15.75" x14ac:dyDescent="0.25">
      <c r="S203" s="51"/>
      <c r="T203" s="51"/>
      <c r="U203" s="51"/>
      <c r="V203" s="51"/>
      <c r="W203" s="51"/>
      <c r="X203" s="51"/>
      <c r="Y203" s="51"/>
      <c r="Z203" s="51"/>
      <c r="AA203" s="51"/>
      <c r="AC203" s="46" t="s">
        <v>1055</v>
      </c>
      <c r="AE203" s="101" t="s">
        <v>485</v>
      </c>
    </row>
    <row r="204" spans="19:31" ht="15.75" x14ac:dyDescent="0.25">
      <c r="S204" s="51"/>
      <c r="T204" s="51"/>
      <c r="U204" s="51"/>
      <c r="V204" s="51"/>
      <c r="W204" s="51"/>
      <c r="X204" s="51"/>
      <c r="Y204" s="51"/>
      <c r="Z204" s="51"/>
      <c r="AA204" s="51"/>
      <c r="AC204" s="46" t="s">
        <v>1056</v>
      </c>
      <c r="AE204" s="101" t="s">
        <v>482</v>
      </c>
    </row>
    <row r="205" spans="19:31" ht="15.75" x14ac:dyDescent="0.25">
      <c r="S205" s="51"/>
      <c r="T205" s="51"/>
      <c r="U205" s="51"/>
      <c r="V205" s="51"/>
      <c r="W205" s="51"/>
      <c r="X205" s="51"/>
      <c r="Y205" s="51"/>
      <c r="Z205" s="51"/>
      <c r="AA205" s="51"/>
      <c r="AC205" s="46" t="s">
        <v>1057</v>
      </c>
      <c r="AE205" s="101" t="s">
        <v>484</v>
      </c>
    </row>
    <row r="206" spans="19:31" ht="15.75" x14ac:dyDescent="0.25">
      <c r="S206" s="51"/>
      <c r="T206" s="51"/>
      <c r="U206" s="51"/>
      <c r="V206" s="51"/>
      <c r="W206" s="51"/>
      <c r="X206" s="51"/>
      <c r="Y206" s="51"/>
      <c r="Z206" s="51"/>
      <c r="AA206" s="51"/>
      <c r="AC206" s="46" t="s">
        <v>1058</v>
      </c>
      <c r="AE206" s="101" t="s">
        <v>861</v>
      </c>
    </row>
    <row r="207" spans="19:31" ht="15.75" x14ac:dyDescent="0.25">
      <c r="S207" s="51"/>
      <c r="T207" s="51"/>
      <c r="U207" s="51"/>
      <c r="V207" s="51"/>
      <c r="W207" s="51"/>
      <c r="X207" s="51"/>
      <c r="Y207" s="51"/>
      <c r="Z207" s="51"/>
      <c r="AA207" s="51"/>
      <c r="AC207" s="46" t="s">
        <v>1059</v>
      </c>
      <c r="AE207" s="101" t="s">
        <v>445</v>
      </c>
    </row>
    <row r="208" spans="19:31" ht="15.75" x14ac:dyDescent="0.25">
      <c r="S208" s="51"/>
      <c r="T208" s="51"/>
      <c r="U208" s="51"/>
      <c r="V208" s="51"/>
      <c r="W208" s="51"/>
      <c r="X208" s="51"/>
      <c r="Y208" s="51"/>
      <c r="Z208" s="51"/>
      <c r="AA208" s="51"/>
      <c r="AC208" s="46" t="s">
        <v>1060</v>
      </c>
      <c r="AE208" s="101" t="s">
        <v>76</v>
      </c>
    </row>
    <row r="209" spans="19:31" ht="15.75" x14ac:dyDescent="0.25">
      <c r="S209" s="51"/>
      <c r="T209" s="51"/>
      <c r="U209" s="51"/>
      <c r="V209" s="51"/>
      <c r="W209" s="51"/>
      <c r="X209" s="51"/>
      <c r="Y209" s="51"/>
      <c r="Z209" s="51"/>
      <c r="AA209" s="51"/>
      <c r="AC209" s="46" t="s">
        <v>1061</v>
      </c>
      <c r="AE209" s="101" t="s">
        <v>78</v>
      </c>
    </row>
    <row r="210" spans="19:31" ht="15.75" x14ac:dyDescent="0.25">
      <c r="S210" s="51"/>
      <c r="T210" s="51"/>
      <c r="U210" s="51"/>
      <c r="V210" s="51"/>
      <c r="W210" s="51"/>
      <c r="X210" s="51"/>
      <c r="Y210" s="51"/>
      <c r="Z210" s="51"/>
      <c r="AA210" s="51"/>
      <c r="AC210" s="46" t="s">
        <v>1062</v>
      </c>
    </row>
    <row r="211" spans="19:31" ht="15.75" x14ac:dyDescent="0.25">
      <c r="S211" s="51"/>
      <c r="T211" s="51"/>
      <c r="U211" s="51"/>
      <c r="V211" s="51"/>
      <c r="W211" s="51"/>
      <c r="X211" s="51"/>
      <c r="Y211" s="51"/>
      <c r="Z211" s="51"/>
      <c r="AA211" s="51"/>
      <c r="AC211" s="46" t="s">
        <v>1063</v>
      </c>
    </row>
    <row r="212" spans="19:31" ht="15.75" x14ac:dyDescent="0.25">
      <c r="S212" s="51"/>
      <c r="T212" s="51"/>
      <c r="U212" s="51"/>
      <c r="V212" s="51"/>
      <c r="W212" s="51"/>
      <c r="X212" s="51"/>
      <c r="Y212" s="51"/>
      <c r="Z212" s="51"/>
      <c r="AA212" s="51"/>
      <c r="AC212" s="46" t="s">
        <v>1064</v>
      </c>
      <c r="AE212" s="10" t="s">
        <v>1</v>
      </c>
    </row>
    <row r="213" spans="19:31" ht="15.75" x14ac:dyDescent="0.25">
      <c r="S213" s="51"/>
      <c r="T213" s="51"/>
      <c r="U213" s="51"/>
      <c r="V213" s="51"/>
      <c r="W213" s="51"/>
      <c r="X213" s="51"/>
      <c r="Y213" s="51"/>
      <c r="Z213" s="51"/>
      <c r="AA213" s="51"/>
      <c r="AC213" s="46" t="s">
        <v>1065</v>
      </c>
      <c r="AE213" s="46" t="s">
        <v>103</v>
      </c>
    </row>
    <row r="214" spans="19:31" ht="15.75" x14ac:dyDescent="0.25">
      <c r="S214" s="51"/>
      <c r="T214" s="51"/>
      <c r="U214" s="51"/>
      <c r="V214" s="51"/>
      <c r="W214" s="51"/>
      <c r="X214" s="51"/>
      <c r="Y214" s="51"/>
      <c r="Z214" s="51"/>
      <c r="AA214" s="51"/>
      <c r="AC214" s="46" t="s">
        <v>1066</v>
      </c>
      <c r="AE214" s="46" t="s">
        <v>101</v>
      </c>
    </row>
    <row r="215" spans="19:31" ht="15.75" x14ac:dyDescent="0.25">
      <c r="S215" s="51"/>
      <c r="T215" s="51"/>
      <c r="U215" s="51"/>
      <c r="V215" s="51"/>
      <c r="W215" s="51"/>
      <c r="X215" s="51"/>
      <c r="Y215" s="51"/>
      <c r="Z215" s="51"/>
      <c r="AA215" s="51"/>
      <c r="AC215" s="46" t="s">
        <v>540</v>
      </c>
      <c r="AE215" s="46" t="s">
        <v>102</v>
      </c>
    </row>
    <row r="216" spans="19:31" ht="15.75" x14ac:dyDescent="0.25">
      <c r="S216" s="51"/>
      <c r="T216" s="51"/>
      <c r="U216" s="51"/>
      <c r="V216" s="51"/>
      <c r="W216" s="51"/>
      <c r="X216" s="51"/>
      <c r="Y216" s="51"/>
      <c r="Z216" s="51"/>
      <c r="AA216" s="51"/>
      <c r="AC216" s="46" t="s">
        <v>1067</v>
      </c>
      <c r="AE216" s="46" t="s">
        <v>110</v>
      </c>
    </row>
    <row r="217" spans="19:31" ht="15.75" x14ac:dyDescent="0.25">
      <c r="S217" s="51"/>
      <c r="T217" s="51"/>
      <c r="U217" s="51"/>
      <c r="V217" s="51"/>
      <c r="W217" s="51"/>
      <c r="X217" s="51"/>
      <c r="Y217" s="51"/>
      <c r="Z217" s="51"/>
      <c r="AA217" s="51"/>
      <c r="AC217" s="46" t="s">
        <v>1068</v>
      </c>
      <c r="AE217" s="46" t="s">
        <v>107</v>
      </c>
    </row>
    <row r="218" spans="19:31" ht="15.75" x14ac:dyDescent="0.25">
      <c r="S218" s="51"/>
      <c r="T218" s="51"/>
      <c r="U218" s="51"/>
      <c r="V218" s="51"/>
      <c r="W218" s="51"/>
      <c r="X218" s="51"/>
      <c r="Y218" s="51"/>
      <c r="Z218" s="51"/>
      <c r="AA218" s="51"/>
      <c r="AC218" s="46" t="s">
        <v>1069</v>
      </c>
      <c r="AE218" s="46" t="s">
        <v>104</v>
      </c>
    </row>
    <row r="219" spans="19:31" ht="15.75" x14ac:dyDescent="0.25">
      <c r="S219" s="51"/>
      <c r="T219" s="51"/>
      <c r="U219" s="51"/>
      <c r="V219" s="51"/>
      <c r="W219" s="51"/>
      <c r="X219" s="51"/>
      <c r="Y219" s="51"/>
      <c r="Z219" s="51"/>
      <c r="AA219" s="51"/>
      <c r="AC219" s="46" t="s">
        <v>1070</v>
      </c>
      <c r="AE219" s="46" t="s">
        <v>106</v>
      </c>
    </row>
    <row r="220" spans="19:31" ht="15.75" x14ac:dyDescent="0.25">
      <c r="S220" s="51"/>
      <c r="T220" s="51"/>
      <c r="U220" s="51"/>
      <c r="V220" s="51"/>
      <c r="W220" s="51"/>
      <c r="X220" s="51"/>
      <c r="Y220" s="51"/>
      <c r="Z220" s="51"/>
      <c r="AA220" s="51"/>
      <c r="AC220" s="46" t="s">
        <v>1071</v>
      </c>
      <c r="AE220" s="46" t="s">
        <v>108</v>
      </c>
    </row>
    <row r="221" spans="19:31" ht="15.75" x14ac:dyDescent="0.25">
      <c r="S221" s="51"/>
      <c r="T221" s="51"/>
      <c r="U221" s="51"/>
      <c r="V221" s="51"/>
      <c r="W221" s="51"/>
      <c r="X221" s="51"/>
      <c r="Y221" s="51"/>
      <c r="Z221" s="51"/>
      <c r="AA221" s="51"/>
      <c r="AC221" s="46" t="s">
        <v>1072</v>
      </c>
      <c r="AE221" s="46" t="s">
        <v>109</v>
      </c>
    </row>
    <row r="222" spans="19:31" ht="15.75" x14ac:dyDescent="0.25">
      <c r="S222" s="51"/>
      <c r="T222" s="51"/>
      <c r="U222" s="51"/>
      <c r="V222" s="51"/>
      <c r="W222" s="51"/>
      <c r="X222" s="51"/>
      <c r="Y222" s="51"/>
      <c r="Z222" s="51"/>
      <c r="AA222" s="51"/>
      <c r="AC222" s="46" t="s">
        <v>1073</v>
      </c>
      <c r="AE222" s="46" t="s">
        <v>105</v>
      </c>
    </row>
    <row r="223" spans="19:31" ht="15.75" x14ac:dyDescent="0.25">
      <c r="S223" s="51"/>
      <c r="T223" s="51"/>
      <c r="U223" s="51"/>
      <c r="V223" s="51"/>
      <c r="W223" s="51"/>
      <c r="X223" s="51"/>
      <c r="Y223" s="51"/>
      <c r="Z223" s="51"/>
      <c r="AA223" s="51"/>
      <c r="AC223" s="46" t="s">
        <v>1074</v>
      </c>
      <c r="AE223" s="46" t="s">
        <v>923</v>
      </c>
    </row>
    <row r="224" spans="19:31" ht="15.75" x14ac:dyDescent="0.25">
      <c r="S224" s="51"/>
      <c r="T224" s="51"/>
      <c r="U224" s="51"/>
      <c r="V224" s="51"/>
      <c r="W224" s="51"/>
      <c r="X224" s="51"/>
      <c r="Y224" s="51"/>
      <c r="Z224" s="51"/>
      <c r="AA224" s="51"/>
      <c r="AC224" s="46" t="s">
        <v>1075</v>
      </c>
      <c r="AE224" s="46" t="s">
        <v>111</v>
      </c>
    </row>
    <row r="225" spans="19:31" ht="15.75" x14ac:dyDescent="0.25">
      <c r="S225" s="51"/>
      <c r="T225" s="51"/>
      <c r="U225" s="51"/>
      <c r="V225" s="51"/>
      <c r="W225" s="51"/>
      <c r="X225" s="51"/>
      <c r="Y225" s="51"/>
      <c r="Z225" s="51"/>
      <c r="AA225" s="51"/>
      <c r="AC225" s="46" t="s">
        <v>1076</v>
      </c>
    </row>
    <row r="226" spans="19:31" ht="15.75" x14ac:dyDescent="0.25">
      <c r="S226" s="51"/>
      <c r="T226" s="51"/>
      <c r="U226" s="51"/>
      <c r="V226" s="51"/>
      <c r="W226" s="51"/>
      <c r="X226" s="51"/>
      <c r="Y226" s="51"/>
      <c r="Z226" s="51"/>
      <c r="AA226" s="51"/>
      <c r="AC226" s="46" t="s">
        <v>543</v>
      </c>
      <c r="AE226" s="10" t="s">
        <v>2</v>
      </c>
    </row>
    <row r="227" spans="19:31" ht="15.75" x14ac:dyDescent="0.25">
      <c r="S227" s="51"/>
      <c r="T227" s="51"/>
      <c r="U227" s="51"/>
      <c r="V227" s="51"/>
      <c r="W227" s="51"/>
      <c r="X227" s="51"/>
      <c r="Y227" s="51"/>
      <c r="Z227" s="51"/>
      <c r="AA227" s="51"/>
      <c r="AC227" s="46" t="s">
        <v>541</v>
      </c>
      <c r="AE227" s="46" t="s">
        <v>126</v>
      </c>
    </row>
    <row r="228" spans="19:31" ht="15.75" x14ac:dyDescent="0.25">
      <c r="S228" s="51"/>
      <c r="T228" s="51"/>
      <c r="U228" s="51"/>
      <c r="V228" s="51"/>
      <c r="W228" s="51"/>
      <c r="X228" s="51"/>
      <c r="Y228" s="51"/>
      <c r="Z228" s="51"/>
      <c r="AA228" s="51"/>
      <c r="AC228" s="46" t="s">
        <v>1077</v>
      </c>
      <c r="AE228" s="46" t="s">
        <v>113</v>
      </c>
    </row>
    <row r="229" spans="19:31" ht="15.75" x14ac:dyDescent="0.25">
      <c r="S229" s="51"/>
      <c r="T229" s="51"/>
      <c r="U229" s="51"/>
      <c r="V229" s="51"/>
      <c r="W229" s="51"/>
      <c r="X229" s="51"/>
      <c r="Y229" s="51"/>
      <c r="Z229" s="51"/>
      <c r="AA229" s="51"/>
      <c r="AC229" s="46" t="s">
        <v>1078</v>
      </c>
      <c r="AE229" s="46" t="s">
        <v>112</v>
      </c>
    </row>
    <row r="230" spans="19:31" ht="15.75" x14ac:dyDescent="0.25">
      <c r="S230" s="51"/>
      <c r="T230" s="51"/>
      <c r="U230" s="51"/>
      <c r="V230" s="51"/>
      <c r="W230" s="51"/>
      <c r="X230" s="51"/>
      <c r="Y230" s="51"/>
      <c r="Z230" s="51"/>
      <c r="AA230" s="51"/>
      <c r="AC230" s="46" t="s">
        <v>1079</v>
      </c>
      <c r="AE230" s="46" t="s">
        <v>115</v>
      </c>
    </row>
    <row r="231" spans="19:31" ht="15.75" x14ac:dyDescent="0.25">
      <c r="S231" s="51"/>
      <c r="T231" s="51"/>
      <c r="U231" s="51"/>
      <c r="V231" s="51"/>
      <c r="W231" s="51"/>
      <c r="X231" s="51"/>
      <c r="Y231" s="51"/>
      <c r="Z231" s="51"/>
      <c r="AA231" s="51"/>
      <c r="AC231" s="46" t="s">
        <v>1080</v>
      </c>
      <c r="AE231" s="46" t="s">
        <v>124</v>
      </c>
    </row>
    <row r="232" spans="19:31" ht="15.75" x14ac:dyDescent="0.25">
      <c r="S232" s="51"/>
      <c r="T232" s="51"/>
      <c r="U232" s="51"/>
      <c r="V232" s="51"/>
      <c r="W232" s="51"/>
      <c r="X232" s="51"/>
      <c r="Y232" s="51"/>
      <c r="Z232" s="51"/>
      <c r="AA232" s="51"/>
      <c r="AC232" s="46" t="s">
        <v>1081</v>
      </c>
      <c r="AE232" s="46" t="s">
        <v>123</v>
      </c>
    </row>
    <row r="233" spans="19:31" ht="15.75" x14ac:dyDescent="0.25">
      <c r="S233" s="51"/>
      <c r="T233" s="51"/>
      <c r="U233" s="51"/>
      <c r="V233" s="51"/>
      <c r="W233" s="51"/>
      <c r="X233" s="51"/>
      <c r="Y233" s="51"/>
      <c r="Z233" s="51"/>
      <c r="AA233" s="51"/>
      <c r="AC233" s="46" t="s">
        <v>1082</v>
      </c>
      <c r="AE233" s="46" t="s">
        <v>122</v>
      </c>
    </row>
    <row r="234" spans="19:31" ht="15.75" x14ac:dyDescent="0.25">
      <c r="S234" s="51"/>
      <c r="T234" s="51"/>
      <c r="U234" s="51"/>
      <c r="V234" s="51"/>
      <c r="W234" s="51"/>
      <c r="X234" s="51"/>
      <c r="Y234" s="51"/>
      <c r="Z234" s="51"/>
      <c r="AA234" s="51"/>
      <c r="AC234" s="46" t="s">
        <v>1083</v>
      </c>
      <c r="AE234" s="46" t="s">
        <v>125</v>
      </c>
    </row>
    <row r="235" spans="19:31" ht="15.75" x14ac:dyDescent="0.25">
      <c r="S235" s="51"/>
      <c r="T235" s="51"/>
      <c r="U235" s="51"/>
      <c r="V235" s="51"/>
      <c r="W235" s="51"/>
      <c r="X235" s="51"/>
      <c r="Y235" s="51"/>
      <c r="Z235" s="51"/>
      <c r="AA235" s="51"/>
      <c r="AC235" s="46" t="s">
        <v>1084</v>
      </c>
      <c r="AE235" s="46" t="s">
        <v>119</v>
      </c>
    </row>
    <row r="236" spans="19:31" ht="15.75" x14ac:dyDescent="0.25">
      <c r="S236" s="51"/>
      <c r="T236" s="51"/>
      <c r="U236" s="51"/>
      <c r="V236" s="51"/>
      <c r="W236" s="51"/>
      <c r="X236" s="51"/>
      <c r="Y236" s="51"/>
      <c r="Z236" s="51"/>
      <c r="AA236" s="51"/>
      <c r="AC236" s="46" t="s">
        <v>544</v>
      </c>
      <c r="AE236" t="s">
        <v>924</v>
      </c>
    </row>
    <row r="237" spans="19:31" ht="15.75" x14ac:dyDescent="0.25">
      <c r="S237" s="51"/>
      <c r="T237" s="51"/>
      <c r="U237" s="51"/>
      <c r="V237" s="51"/>
      <c r="W237" s="51"/>
      <c r="X237" s="51"/>
      <c r="Y237" s="51"/>
      <c r="Z237" s="51"/>
      <c r="AA237" s="51"/>
      <c r="AC237" s="46" t="s">
        <v>1085</v>
      </c>
      <c r="AE237" t="s">
        <v>925</v>
      </c>
    </row>
    <row r="238" spans="19:31" ht="15.75" x14ac:dyDescent="0.25">
      <c r="S238" s="51"/>
      <c r="T238" s="51"/>
      <c r="U238" s="51"/>
      <c r="V238" s="51"/>
      <c r="W238" s="51"/>
      <c r="X238" s="51"/>
      <c r="Y238" s="51"/>
      <c r="Z238" s="51"/>
      <c r="AA238" s="51"/>
      <c r="AC238" s="46" t="s">
        <v>1086</v>
      </c>
      <c r="AE238" s="46" t="s">
        <v>121</v>
      </c>
    </row>
    <row r="239" spans="19:31" ht="15.75" x14ac:dyDescent="0.25">
      <c r="S239" s="51"/>
      <c r="T239" s="51"/>
      <c r="U239" s="51"/>
      <c r="V239" s="51"/>
      <c r="W239" s="51"/>
      <c r="X239" s="51"/>
      <c r="Y239" s="51"/>
      <c r="Z239" s="51"/>
      <c r="AA239" s="51"/>
      <c r="AC239" s="46" t="s">
        <v>539</v>
      </c>
      <c r="AE239" s="46" t="s">
        <v>120</v>
      </c>
    </row>
    <row r="240" spans="19:31" ht="15.75" x14ac:dyDescent="0.25">
      <c r="S240" s="51"/>
      <c r="T240" s="51"/>
      <c r="U240" s="51"/>
      <c r="V240" s="51"/>
      <c r="W240" s="51"/>
      <c r="X240" s="51"/>
      <c r="Y240" s="51"/>
      <c r="Z240" s="51"/>
      <c r="AA240" s="51"/>
      <c r="AC240" s="46" t="s">
        <v>521</v>
      </c>
      <c r="AE240" s="46" t="s">
        <v>114</v>
      </c>
    </row>
    <row r="241" spans="19:31" ht="15.75" x14ac:dyDescent="0.25">
      <c r="S241" s="51"/>
      <c r="T241" s="51"/>
      <c r="U241" s="51"/>
      <c r="V241" s="51"/>
      <c r="W241" s="51"/>
      <c r="X241" s="51"/>
      <c r="Y241" s="51"/>
      <c r="Z241" s="51"/>
      <c r="AA241" s="51"/>
      <c r="AC241" s="46" t="s">
        <v>1087</v>
      </c>
      <c r="AE241" s="46" t="s">
        <v>129</v>
      </c>
    </row>
    <row r="242" spans="19:31" ht="15.75" x14ac:dyDescent="0.25">
      <c r="S242" s="51"/>
      <c r="T242" s="51"/>
      <c r="U242" s="51"/>
      <c r="V242" s="51"/>
      <c r="W242" s="51"/>
      <c r="X242" s="51"/>
      <c r="Y242" s="51"/>
      <c r="Z242" s="51"/>
      <c r="AA242" s="51"/>
      <c r="AC242" s="46" t="s">
        <v>542</v>
      </c>
      <c r="AE242" s="46" t="s">
        <v>116</v>
      </c>
    </row>
    <row r="243" spans="19:31" ht="15.75" x14ac:dyDescent="0.25">
      <c r="S243" s="51"/>
      <c r="T243" s="51"/>
      <c r="U243" s="51"/>
      <c r="V243" s="51"/>
      <c r="W243" s="51"/>
      <c r="X243" s="51"/>
      <c r="Y243" s="51"/>
      <c r="Z243" s="51"/>
      <c r="AA243" s="51"/>
      <c r="AC243" s="46" t="s">
        <v>1088</v>
      </c>
      <c r="AE243" s="46" t="s">
        <v>128</v>
      </c>
    </row>
    <row r="244" spans="19:31" ht="15.75" x14ac:dyDescent="0.25">
      <c r="S244" s="51"/>
      <c r="T244" s="51"/>
      <c r="U244" s="51"/>
      <c r="V244" s="51"/>
      <c r="W244" s="51"/>
      <c r="X244" s="51"/>
      <c r="Y244" s="51"/>
      <c r="Z244" s="51"/>
      <c r="AA244" s="51"/>
      <c r="AC244" s="46" t="s">
        <v>1089</v>
      </c>
      <c r="AE244" s="46" t="s">
        <v>118</v>
      </c>
    </row>
    <row r="245" spans="19:31" ht="15.75" x14ac:dyDescent="0.25">
      <c r="S245" s="51"/>
      <c r="T245" s="51"/>
      <c r="U245" s="51"/>
      <c r="V245" s="51"/>
      <c r="W245" s="51"/>
      <c r="X245" s="51"/>
      <c r="Y245" s="51"/>
      <c r="Z245" s="51"/>
      <c r="AA245" s="51"/>
      <c r="AC245" s="46" t="s">
        <v>1090</v>
      </c>
      <c r="AE245" s="46" t="s">
        <v>117</v>
      </c>
    </row>
    <row r="246" spans="19:31" ht="15.75" x14ac:dyDescent="0.25">
      <c r="S246" s="51"/>
      <c r="T246" s="51"/>
      <c r="U246" s="51"/>
      <c r="V246" s="51"/>
      <c r="W246" s="51"/>
      <c r="X246" s="51"/>
      <c r="Y246" s="51"/>
      <c r="Z246" s="51"/>
      <c r="AA246" s="51"/>
      <c r="AC246" s="46" t="s">
        <v>1091</v>
      </c>
      <c r="AE246" s="46" t="s">
        <v>127</v>
      </c>
    </row>
    <row r="247" spans="19:31" ht="15.75" x14ac:dyDescent="0.25">
      <c r="S247" s="51"/>
      <c r="T247" s="51"/>
      <c r="U247" s="51"/>
      <c r="V247" s="51"/>
      <c r="W247" s="51"/>
      <c r="X247" s="51"/>
      <c r="Y247" s="51"/>
      <c r="Z247" s="51"/>
      <c r="AA247" s="51"/>
      <c r="AC247" s="46" t="s">
        <v>1092</v>
      </c>
    </row>
    <row r="248" spans="19:31" ht="15.75" x14ac:dyDescent="0.25">
      <c r="S248" s="51"/>
      <c r="T248" s="51"/>
      <c r="U248" s="51"/>
      <c r="V248" s="51"/>
      <c r="W248" s="51"/>
      <c r="X248" s="51"/>
      <c r="Y248" s="51"/>
      <c r="Z248" s="51"/>
      <c r="AA248" s="51"/>
      <c r="AC248" s="46" t="s">
        <v>1093</v>
      </c>
    </row>
    <row r="249" spans="19:31" ht="15.75" x14ac:dyDescent="0.25">
      <c r="S249" s="51"/>
      <c r="T249" s="51"/>
      <c r="U249" s="51"/>
      <c r="V249" s="51"/>
      <c r="W249" s="51"/>
      <c r="X249" s="51"/>
      <c r="Y249" s="51"/>
      <c r="Z249" s="51"/>
      <c r="AA249" s="51"/>
      <c r="AC249" s="46" t="s">
        <v>1094</v>
      </c>
    </row>
    <row r="250" spans="19:31" ht="15.75" x14ac:dyDescent="0.25">
      <c r="S250" s="51"/>
      <c r="T250" s="51"/>
      <c r="U250" s="51"/>
      <c r="V250" s="51"/>
      <c r="W250" s="51"/>
      <c r="X250" s="51"/>
      <c r="Y250" s="51"/>
      <c r="Z250" s="51"/>
      <c r="AA250" s="51"/>
      <c r="AC250" s="46" t="s">
        <v>546</v>
      </c>
    </row>
    <row r="251" spans="19:31" ht="15.75" x14ac:dyDescent="0.25">
      <c r="S251" s="51"/>
      <c r="T251" s="51"/>
      <c r="U251" s="51"/>
      <c r="V251" s="51"/>
      <c r="W251" s="51"/>
      <c r="X251" s="51"/>
      <c r="Y251" s="51"/>
      <c r="Z251" s="51"/>
      <c r="AA251" s="51"/>
      <c r="AC251" s="46" t="s">
        <v>1095</v>
      </c>
    </row>
    <row r="252" spans="19:31" ht="15.75" x14ac:dyDescent="0.25">
      <c r="S252" s="51"/>
      <c r="T252" s="51"/>
      <c r="U252" s="51"/>
      <c r="V252" s="51"/>
      <c r="W252" s="51"/>
      <c r="X252" s="51"/>
      <c r="Y252" s="51"/>
      <c r="Z252" s="51"/>
      <c r="AA252" s="51"/>
      <c r="AC252" s="46" t="s">
        <v>1096</v>
      </c>
    </row>
    <row r="253" spans="19:31" ht="15.75" x14ac:dyDescent="0.25">
      <c r="S253" s="51"/>
      <c r="T253" s="51"/>
      <c r="U253" s="51"/>
      <c r="V253" s="51"/>
      <c r="W253" s="51"/>
      <c r="X253" s="51"/>
      <c r="Y253" s="51"/>
      <c r="Z253" s="51"/>
      <c r="AA253" s="51"/>
      <c r="AC253" s="46" t="s">
        <v>1097</v>
      </c>
    </row>
    <row r="254" spans="19:31" ht="15.75" x14ac:dyDescent="0.25">
      <c r="S254" s="51"/>
      <c r="T254" s="51"/>
      <c r="U254" s="51"/>
      <c r="V254" s="51"/>
      <c r="W254" s="51"/>
      <c r="X254" s="51"/>
      <c r="Y254" s="51"/>
      <c r="Z254" s="51"/>
      <c r="AA254" s="51"/>
      <c r="AC254" s="46" t="s">
        <v>1098</v>
      </c>
    </row>
    <row r="255" spans="19:31" ht="15.75" x14ac:dyDescent="0.25">
      <c r="S255" s="51"/>
      <c r="T255" s="51"/>
      <c r="U255" s="51"/>
      <c r="V255" s="51"/>
      <c r="W255" s="51"/>
      <c r="X255" s="51"/>
      <c r="Y255" s="51"/>
      <c r="Z255" s="51"/>
      <c r="AA255" s="51"/>
      <c r="AC255" s="46" t="s">
        <v>1099</v>
      </c>
    </row>
    <row r="256" spans="19:31" ht="15.75" x14ac:dyDescent="0.25">
      <c r="S256" s="51"/>
      <c r="T256" s="51"/>
      <c r="U256" s="51"/>
      <c r="V256" s="51"/>
      <c r="W256" s="51"/>
      <c r="X256" s="51"/>
      <c r="Y256" s="51"/>
      <c r="Z256" s="51"/>
      <c r="AA256" s="51"/>
      <c r="AC256" s="46" t="s">
        <v>1100</v>
      </c>
    </row>
    <row r="257" spans="19:29" ht="15.75" x14ac:dyDescent="0.25">
      <c r="S257" s="51"/>
      <c r="T257" s="51"/>
      <c r="U257" s="51"/>
      <c r="V257" s="51"/>
      <c r="W257" s="51"/>
      <c r="X257" s="51"/>
      <c r="Y257" s="51"/>
      <c r="Z257" s="51"/>
      <c r="AA257" s="51"/>
      <c r="AC257" s="46" t="s">
        <v>1101</v>
      </c>
    </row>
    <row r="258" spans="19:29" ht="15.75" x14ac:dyDescent="0.25">
      <c r="S258" s="51"/>
      <c r="T258" s="51"/>
      <c r="U258" s="51"/>
      <c r="V258" s="51"/>
      <c r="W258" s="51"/>
      <c r="X258" s="51"/>
      <c r="Y258" s="51"/>
      <c r="Z258" s="51"/>
      <c r="AA258" s="51"/>
      <c r="AC258" s="46" t="s">
        <v>545</v>
      </c>
    </row>
    <row r="259" spans="19:29" ht="15.75" x14ac:dyDescent="0.25">
      <c r="S259" s="51"/>
      <c r="T259" s="51"/>
      <c r="U259" s="51"/>
      <c r="V259" s="51"/>
      <c r="W259" s="51"/>
      <c r="X259" s="51"/>
      <c r="Y259" s="51"/>
      <c r="Z259" s="51"/>
      <c r="AA259" s="51"/>
      <c r="AC259" s="46" t="s">
        <v>547</v>
      </c>
    </row>
    <row r="260" spans="19:29" ht="15.75" x14ac:dyDescent="0.25">
      <c r="S260" s="51"/>
      <c r="T260" s="51"/>
      <c r="U260" s="51"/>
      <c r="V260" s="51"/>
      <c r="W260" s="51"/>
      <c r="X260" s="51"/>
      <c r="Y260" s="51"/>
      <c r="Z260" s="51"/>
      <c r="AA260" s="51"/>
      <c r="AC260" s="47" t="s">
        <v>791</v>
      </c>
    </row>
    <row r="261" spans="19:29" ht="15.75" x14ac:dyDescent="0.25">
      <c r="S261" s="51"/>
      <c r="T261" s="51"/>
      <c r="U261" s="51"/>
      <c r="V261" s="51"/>
      <c r="W261" s="51"/>
      <c r="X261" s="51"/>
      <c r="Y261" s="51"/>
      <c r="Z261" s="51"/>
      <c r="AA261" s="51"/>
      <c r="AC261" s="46" t="s">
        <v>1102</v>
      </c>
    </row>
    <row r="262" spans="19:29" ht="15.75" x14ac:dyDescent="0.25">
      <c r="S262" s="51"/>
      <c r="T262" s="51"/>
      <c r="U262" s="51"/>
      <c r="V262" s="51"/>
      <c r="W262" s="51"/>
      <c r="X262" s="51"/>
      <c r="Y262" s="51"/>
      <c r="Z262" s="51"/>
      <c r="AA262" s="51"/>
      <c r="AC262" s="46" t="s">
        <v>1144</v>
      </c>
    </row>
    <row r="263" spans="19:29" ht="15.75" x14ac:dyDescent="0.25">
      <c r="S263" s="51"/>
      <c r="T263" s="51"/>
      <c r="U263" s="51"/>
      <c r="V263" s="51"/>
      <c r="W263" s="51"/>
      <c r="X263" s="51"/>
      <c r="Y263" s="51"/>
      <c r="Z263" s="51"/>
      <c r="AA263" s="51"/>
      <c r="AC263" s="46" t="s">
        <v>1147</v>
      </c>
    </row>
    <row r="264" spans="19:29" ht="15.75" x14ac:dyDescent="0.25">
      <c r="S264" s="51"/>
      <c r="T264" s="51"/>
      <c r="U264" s="51"/>
      <c r="V264" s="51"/>
      <c r="W264" s="51"/>
      <c r="X264" s="51"/>
      <c r="Y264" s="51"/>
      <c r="Z264" s="51"/>
      <c r="AA264" s="51"/>
      <c r="AC264" s="46" t="s">
        <v>1148</v>
      </c>
    </row>
    <row r="265" spans="19:29" ht="15.75" x14ac:dyDescent="0.25">
      <c r="S265" s="51"/>
      <c r="T265" s="51"/>
      <c r="U265" s="51"/>
      <c r="V265" s="51"/>
      <c r="W265" s="51"/>
      <c r="X265" s="51"/>
      <c r="Y265" s="51"/>
      <c r="Z265" s="51"/>
      <c r="AA265" s="51"/>
      <c r="AC265" s="46" t="s">
        <v>1103</v>
      </c>
    </row>
    <row r="266" spans="19:29" ht="15.75" x14ac:dyDescent="0.25">
      <c r="S266" s="51"/>
      <c r="T266" s="51"/>
      <c r="U266" s="51"/>
      <c r="V266" s="51"/>
      <c r="W266" s="51"/>
      <c r="X266" s="51"/>
      <c r="Y266" s="51"/>
      <c r="Z266" s="51"/>
      <c r="AA266" s="51"/>
      <c r="AC266" s="46" t="s">
        <v>1104</v>
      </c>
    </row>
    <row r="267" spans="19:29" ht="15.75" x14ac:dyDescent="0.25">
      <c r="S267" s="51"/>
      <c r="T267" s="51"/>
      <c r="U267" s="51"/>
      <c r="V267" s="51"/>
      <c r="W267" s="51"/>
      <c r="X267" s="51"/>
      <c r="Y267" s="51"/>
      <c r="Z267" s="51"/>
      <c r="AA267" s="51"/>
      <c r="AC267" s="46" t="s">
        <v>1135</v>
      </c>
    </row>
    <row r="268" spans="19:29" ht="15.75" x14ac:dyDescent="0.25">
      <c r="S268" s="51"/>
      <c r="T268" s="51"/>
      <c r="U268" s="51"/>
      <c r="V268" s="51"/>
      <c r="W268" s="51"/>
      <c r="X268" s="51"/>
      <c r="Y268" s="51"/>
      <c r="Z268" s="51"/>
      <c r="AA268" s="51"/>
      <c r="AC268" s="46" t="s">
        <v>1105</v>
      </c>
    </row>
    <row r="269" spans="19:29" ht="15.75" x14ac:dyDescent="0.25">
      <c r="S269" s="51"/>
      <c r="T269" s="51"/>
      <c r="U269" s="51"/>
      <c r="V269" s="51"/>
      <c r="W269" s="51"/>
      <c r="X269" s="51"/>
      <c r="Y269" s="51"/>
      <c r="Z269" s="51"/>
      <c r="AA269" s="51"/>
      <c r="AC269" s="46" t="s">
        <v>1106</v>
      </c>
    </row>
    <row r="270" spans="19:29" ht="15.75" x14ac:dyDescent="0.25">
      <c r="S270" s="51"/>
      <c r="T270" s="51"/>
      <c r="U270" s="51"/>
      <c r="V270" s="51"/>
      <c r="W270" s="51"/>
      <c r="X270" s="51"/>
      <c r="Y270" s="51"/>
      <c r="Z270" s="51"/>
      <c r="AA270" s="51"/>
      <c r="AC270" s="46" t="s">
        <v>1107</v>
      </c>
    </row>
    <row r="271" spans="19:29" ht="15.75" x14ac:dyDescent="0.25">
      <c r="S271" s="51"/>
      <c r="T271" s="51"/>
      <c r="U271" s="51"/>
      <c r="V271" s="51"/>
      <c r="W271" s="51"/>
      <c r="X271" s="51"/>
      <c r="Y271" s="51"/>
      <c r="Z271" s="51"/>
      <c r="AA271" s="51"/>
      <c r="AC271" s="46" t="s">
        <v>1145</v>
      </c>
    </row>
    <row r="272" spans="19:29" ht="15.75" x14ac:dyDescent="0.25">
      <c r="S272" s="51"/>
      <c r="T272" s="51"/>
      <c r="U272" s="51"/>
      <c r="V272" s="51"/>
      <c r="W272" s="51"/>
      <c r="X272" s="51"/>
      <c r="Y272" s="51"/>
      <c r="Z272" s="51"/>
      <c r="AA272" s="51"/>
      <c r="AC272" s="46" t="s">
        <v>1146</v>
      </c>
    </row>
    <row r="273" spans="19:29" ht="15.75" x14ac:dyDescent="0.25">
      <c r="S273" s="51"/>
      <c r="T273" s="51"/>
      <c r="U273" s="51"/>
      <c r="V273" s="51"/>
      <c r="W273" s="51"/>
      <c r="X273" s="51"/>
      <c r="Y273" s="51"/>
      <c r="Z273" s="51"/>
      <c r="AA273" s="51"/>
      <c r="AC273" s="46" t="s">
        <v>1108</v>
      </c>
    </row>
    <row r="274" spans="19:29" ht="15.75" x14ac:dyDescent="0.25">
      <c r="S274" s="51"/>
      <c r="T274" s="51"/>
      <c r="U274" s="51"/>
      <c r="V274" s="51"/>
      <c r="W274" s="51"/>
      <c r="X274" s="51"/>
      <c r="Y274" s="51"/>
      <c r="Z274" s="51"/>
      <c r="AA274" s="51"/>
      <c r="AC274" s="46" t="s">
        <v>1136</v>
      </c>
    </row>
    <row r="275" spans="19:29" ht="15.75" x14ac:dyDescent="0.25">
      <c r="S275" s="51"/>
      <c r="T275" s="51"/>
      <c r="U275" s="51"/>
      <c r="V275" s="51"/>
      <c r="W275" s="51"/>
      <c r="X275" s="51"/>
      <c r="Y275" s="51"/>
      <c r="Z275" s="51"/>
      <c r="AA275" s="51"/>
      <c r="AC275" s="46" t="s">
        <v>1137</v>
      </c>
    </row>
    <row r="276" spans="19:29" ht="15.75" x14ac:dyDescent="0.25">
      <c r="S276" s="51"/>
      <c r="T276" s="51"/>
      <c r="U276" s="51"/>
      <c r="V276" s="51"/>
      <c r="W276" s="51"/>
      <c r="X276" s="51"/>
      <c r="Y276" s="51"/>
      <c r="Z276" s="51"/>
      <c r="AA276" s="51"/>
      <c r="AC276" s="46" t="s">
        <v>1138</v>
      </c>
    </row>
    <row r="277" spans="19:29" ht="15.75" x14ac:dyDescent="0.25">
      <c r="S277" s="51"/>
      <c r="T277" s="51"/>
      <c r="U277" s="51"/>
      <c r="V277" s="51"/>
      <c r="W277" s="51"/>
      <c r="X277" s="51"/>
      <c r="Y277" s="51"/>
      <c r="Z277" s="51"/>
      <c r="AA277" s="51"/>
      <c r="AC277" s="46" t="s">
        <v>1139</v>
      </c>
    </row>
    <row r="278" spans="19:29" ht="15.75" x14ac:dyDescent="0.25">
      <c r="S278" s="51"/>
      <c r="T278" s="51"/>
      <c r="U278" s="51"/>
      <c r="V278" s="51"/>
      <c r="W278" s="51"/>
      <c r="X278" s="51"/>
      <c r="Y278" s="51"/>
      <c r="Z278" s="51"/>
      <c r="AA278" s="51"/>
      <c r="AC278" s="46" t="s">
        <v>1109</v>
      </c>
    </row>
    <row r="279" spans="19:29" ht="15.75" x14ac:dyDescent="0.25">
      <c r="S279" s="51"/>
      <c r="T279" s="51"/>
      <c r="U279" s="51"/>
      <c r="V279" s="51"/>
      <c r="W279" s="51"/>
      <c r="X279" s="51"/>
      <c r="Y279" s="51"/>
      <c r="Z279" s="51"/>
      <c r="AA279" s="51"/>
      <c r="AC279" s="46" t="s">
        <v>1149</v>
      </c>
    </row>
    <row r="280" spans="19:29" ht="15.75" x14ac:dyDescent="0.25">
      <c r="S280" s="51"/>
      <c r="T280" s="51"/>
      <c r="U280" s="51"/>
      <c r="V280" s="51"/>
      <c r="W280" s="51"/>
      <c r="X280" s="51"/>
      <c r="Y280" s="51"/>
      <c r="Z280" s="51"/>
      <c r="AA280" s="51"/>
      <c r="AC280" s="46" t="s">
        <v>1110</v>
      </c>
    </row>
    <row r="281" spans="19:29" ht="15.75" x14ac:dyDescent="0.25">
      <c r="S281" s="51"/>
      <c r="T281" s="51"/>
      <c r="U281" s="51"/>
      <c r="V281" s="51"/>
      <c r="W281" s="51"/>
      <c r="X281" s="51"/>
      <c r="Y281" s="51"/>
      <c r="Z281" s="51"/>
      <c r="AA281" s="51"/>
      <c r="AC281" s="46" t="s">
        <v>1111</v>
      </c>
    </row>
    <row r="282" spans="19:29" ht="15.75" x14ac:dyDescent="0.25">
      <c r="S282" s="51"/>
      <c r="T282" s="51"/>
      <c r="U282" s="51"/>
      <c r="V282" s="51"/>
      <c r="W282" s="51"/>
      <c r="X282" s="51"/>
      <c r="Y282" s="51"/>
      <c r="Z282" s="51"/>
      <c r="AA282" s="51"/>
      <c r="AC282" s="46" t="s">
        <v>1112</v>
      </c>
    </row>
    <row r="283" spans="19:29" ht="15.75" x14ac:dyDescent="0.25">
      <c r="S283" s="51"/>
      <c r="T283" s="51"/>
      <c r="U283" s="51"/>
      <c r="V283" s="51"/>
      <c r="W283" s="51"/>
      <c r="X283" s="51"/>
      <c r="Y283" s="51"/>
      <c r="Z283" s="51"/>
      <c r="AA283" s="51"/>
      <c r="AC283" s="46" t="s">
        <v>1113</v>
      </c>
    </row>
    <row r="284" spans="19:29" ht="15.75" x14ac:dyDescent="0.25">
      <c r="S284" s="51"/>
      <c r="T284" s="51"/>
      <c r="U284" s="51"/>
      <c r="V284" s="51"/>
      <c r="W284" s="51"/>
      <c r="X284" s="51"/>
      <c r="Y284" s="51"/>
      <c r="Z284" s="51"/>
      <c r="AA284" s="51"/>
      <c r="AC284" s="46" t="s">
        <v>1114</v>
      </c>
    </row>
    <row r="285" spans="19:29" ht="15.75" x14ac:dyDescent="0.25">
      <c r="S285" s="51"/>
      <c r="T285" s="51"/>
      <c r="U285" s="51"/>
      <c r="V285" s="51"/>
      <c r="W285" s="51"/>
      <c r="X285" s="51"/>
      <c r="Y285" s="51"/>
      <c r="Z285" s="51"/>
      <c r="AA285" s="51"/>
      <c r="AC285" s="46" t="s">
        <v>1115</v>
      </c>
    </row>
    <row r="286" spans="19:29" ht="15.75" x14ac:dyDescent="0.25">
      <c r="S286" s="51"/>
      <c r="T286" s="51"/>
      <c r="U286" s="51"/>
      <c r="V286" s="51"/>
      <c r="W286" s="51"/>
      <c r="X286" s="51"/>
      <c r="Y286" s="51"/>
      <c r="Z286" s="51"/>
      <c r="AA286" s="51"/>
      <c r="AC286" s="46" t="s">
        <v>1116</v>
      </c>
    </row>
    <row r="287" spans="19:29" ht="15.75" x14ac:dyDescent="0.25">
      <c r="S287" s="51"/>
      <c r="T287" s="51"/>
      <c r="U287" s="51"/>
      <c r="V287" s="51"/>
      <c r="W287" s="51"/>
      <c r="X287" s="51"/>
      <c r="Y287" s="51"/>
      <c r="Z287" s="51"/>
      <c r="AA287" s="51"/>
      <c r="AC287" s="46" t="s">
        <v>1150</v>
      </c>
    </row>
    <row r="288" spans="19:29" ht="15.75" x14ac:dyDescent="0.25">
      <c r="S288" s="51"/>
      <c r="T288" s="51"/>
      <c r="U288" s="51"/>
      <c r="V288" s="51"/>
      <c r="W288" s="51"/>
      <c r="X288" s="51"/>
      <c r="Y288" s="51"/>
      <c r="Z288" s="51"/>
      <c r="AA288" s="51"/>
      <c r="AC288" s="46" t="s">
        <v>1151</v>
      </c>
    </row>
    <row r="289" spans="19:29" ht="15.75" x14ac:dyDescent="0.25">
      <c r="S289" s="51"/>
      <c r="T289" s="51"/>
      <c r="U289" s="51"/>
      <c r="V289" s="51"/>
      <c r="W289" s="51"/>
      <c r="X289" s="51"/>
      <c r="Y289" s="51"/>
      <c r="Z289" s="51"/>
      <c r="AA289" s="51"/>
      <c r="AC289" s="46" t="s">
        <v>1152</v>
      </c>
    </row>
    <row r="290" spans="19:29" ht="15.75" x14ac:dyDescent="0.25">
      <c r="S290" s="51"/>
      <c r="T290" s="51"/>
      <c r="U290" s="51"/>
      <c r="V290" s="51"/>
      <c r="W290" s="51"/>
      <c r="X290" s="51"/>
      <c r="Y290" s="51"/>
      <c r="Z290" s="51"/>
      <c r="AA290" s="51"/>
      <c r="AC290" s="46" t="s">
        <v>550</v>
      </c>
    </row>
    <row r="291" spans="19:29" ht="15.75" x14ac:dyDescent="0.25">
      <c r="S291" s="51"/>
      <c r="T291" s="51"/>
      <c r="U291" s="51"/>
      <c r="V291" s="51"/>
      <c r="W291" s="51"/>
      <c r="X291" s="51"/>
      <c r="Y291" s="51"/>
      <c r="Z291" s="51"/>
      <c r="AA291" s="51"/>
      <c r="AC291" s="46" t="s">
        <v>548</v>
      </c>
    </row>
    <row r="292" spans="19:29" ht="15.75" x14ac:dyDescent="0.25">
      <c r="S292" s="51"/>
      <c r="T292" s="51"/>
      <c r="U292" s="51"/>
      <c r="V292" s="51"/>
      <c r="W292" s="51"/>
      <c r="X292" s="51"/>
      <c r="Y292" s="51"/>
      <c r="Z292" s="51"/>
      <c r="AA292" s="51"/>
      <c r="AC292" s="46" t="s">
        <v>1117</v>
      </c>
    </row>
    <row r="293" spans="19:29" ht="15.75" x14ac:dyDescent="0.25">
      <c r="S293" s="51"/>
      <c r="T293" s="51"/>
      <c r="U293" s="51"/>
      <c r="V293" s="51"/>
      <c r="W293" s="51"/>
      <c r="X293" s="51"/>
      <c r="Y293" s="51"/>
      <c r="Z293" s="51"/>
      <c r="AA293" s="51"/>
      <c r="AC293" s="46" t="s">
        <v>1140</v>
      </c>
    </row>
    <row r="294" spans="19:29" ht="15.75" x14ac:dyDescent="0.25">
      <c r="S294" s="51"/>
      <c r="T294" s="51"/>
      <c r="U294" s="51"/>
      <c r="V294" s="51"/>
      <c r="W294" s="51"/>
      <c r="X294" s="51"/>
      <c r="Y294" s="51"/>
      <c r="Z294" s="51"/>
      <c r="AA294" s="51"/>
      <c r="AC294" s="46" t="s">
        <v>1118</v>
      </c>
    </row>
    <row r="295" spans="19:29" ht="15.75" x14ac:dyDescent="0.25">
      <c r="S295" s="51"/>
      <c r="T295" s="51"/>
      <c r="U295" s="51"/>
      <c r="V295" s="51"/>
      <c r="W295" s="51"/>
      <c r="X295" s="51"/>
      <c r="Y295" s="51"/>
      <c r="Z295" s="51"/>
      <c r="AA295" s="51"/>
      <c r="AC295" s="46" t="s">
        <v>1153</v>
      </c>
    </row>
    <row r="296" spans="19:29" ht="15.75" x14ac:dyDescent="0.25">
      <c r="S296" s="51"/>
      <c r="T296" s="51"/>
      <c r="U296" s="51"/>
      <c r="V296" s="51"/>
      <c r="W296" s="51"/>
      <c r="X296" s="51"/>
      <c r="Y296" s="51"/>
      <c r="Z296" s="51"/>
      <c r="AA296" s="51"/>
      <c r="AC296" s="46" t="s">
        <v>1119</v>
      </c>
    </row>
    <row r="297" spans="19:29" ht="15.75" x14ac:dyDescent="0.25">
      <c r="S297" s="51"/>
      <c r="T297" s="51"/>
      <c r="U297" s="51"/>
      <c r="V297" s="51"/>
      <c r="W297" s="51"/>
      <c r="X297" s="51"/>
      <c r="Y297" s="51"/>
      <c r="Z297" s="51"/>
      <c r="AA297" s="51"/>
      <c r="AC297" s="46" t="s">
        <v>1141</v>
      </c>
    </row>
    <row r="298" spans="19:29" ht="15.75" x14ac:dyDescent="0.25">
      <c r="S298" s="51"/>
      <c r="T298" s="51"/>
      <c r="U298" s="51"/>
      <c r="V298" s="51"/>
      <c r="W298" s="51"/>
      <c r="X298" s="51"/>
      <c r="Y298" s="51"/>
      <c r="Z298" s="51"/>
      <c r="AA298" s="51"/>
      <c r="AC298" s="46" t="s">
        <v>1120</v>
      </c>
    </row>
    <row r="299" spans="19:29" ht="15.75" x14ac:dyDescent="0.25">
      <c r="S299" s="51"/>
      <c r="T299" s="51"/>
      <c r="U299" s="51"/>
      <c r="V299" s="51"/>
      <c r="W299" s="51"/>
      <c r="X299" s="51"/>
      <c r="Y299" s="51"/>
      <c r="Z299" s="51"/>
      <c r="AA299" s="51"/>
      <c r="AC299" s="46" t="s">
        <v>1154</v>
      </c>
    </row>
    <row r="300" spans="19:29" ht="15.75" x14ac:dyDescent="0.25">
      <c r="S300" s="51"/>
      <c r="T300" s="51"/>
      <c r="U300" s="51"/>
      <c r="V300" s="51"/>
      <c r="W300" s="51"/>
      <c r="X300" s="51"/>
      <c r="Y300" s="51"/>
      <c r="Z300" s="51"/>
      <c r="AA300" s="51"/>
      <c r="AC300" s="46" t="s">
        <v>1155</v>
      </c>
    </row>
    <row r="301" spans="19:29" ht="15.75" x14ac:dyDescent="0.25">
      <c r="S301" s="51"/>
      <c r="T301" s="51"/>
      <c r="U301" s="51"/>
      <c r="V301" s="51"/>
      <c r="W301" s="51"/>
      <c r="X301" s="51"/>
      <c r="Y301" s="51"/>
      <c r="Z301" s="51"/>
      <c r="AA301" s="51"/>
      <c r="AC301" s="46" t="s">
        <v>1121</v>
      </c>
    </row>
    <row r="302" spans="19:29" ht="15.75" x14ac:dyDescent="0.25">
      <c r="S302" s="51"/>
      <c r="T302" s="51"/>
      <c r="U302" s="51"/>
      <c r="V302" s="51"/>
      <c r="W302" s="51"/>
      <c r="X302" s="51"/>
      <c r="Y302" s="51"/>
      <c r="Z302" s="51"/>
      <c r="AA302" s="51"/>
      <c r="AC302" s="46" t="s">
        <v>1122</v>
      </c>
    </row>
    <row r="303" spans="19:29" ht="15.75" x14ac:dyDescent="0.25">
      <c r="S303" s="51"/>
      <c r="T303" s="51"/>
      <c r="U303" s="51"/>
      <c r="V303" s="51"/>
      <c r="W303" s="51"/>
      <c r="X303" s="51"/>
      <c r="Y303" s="51"/>
      <c r="Z303" s="51"/>
      <c r="AA303" s="51"/>
      <c r="AC303" s="46" t="s">
        <v>1156</v>
      </c>
    </row>
    <row r="304" spans="19:29" ht="15.75" x14ac:dyDescent="0.25">
      <c r="S304" s="51"/>
      <c r="T304" s="51"/>
      <c r="U304" s="51"/>
      <c r="V304" s="51"/>
      <c r="W304" s="51"/>
      <c r="X304" s="51"/>
      <c r="Y304" s="51"/>
      <c r="Z304" s="51"/>
      <c r="AA304" s="51"/>
      <c r="AC304" s="46" t="s">
        <v>1157</v>
      </c>
    </row>
    <row r="305" spans="19:29" ht="15.75" x14ac:dyDescent="0.25">
      <c r="S305" s="51"/>
      <c r="T305" s="51"/>
      <c r="U305" s="51"/>
      <c r="V305" s="51"/>
      <c r="W305" s="51"/>
      <c r="X305" s="51"/>
      <c r="Y305" s="51"/>
      <c r="Z305" s="51"/>
      <c r="AA305" s="51"/>
      <c r="AC305" s="46" t="s">
        <v>1158</v>
      </c>
    </row>
    <row r="306" spans="19:29" ht="15.75" x14ac:dyDescent="0.25">
      <c r="S306" s="51"/>
      <c r="T306" s="51"/>
      <c r="U306" s="51"/>
      <c r="V306" s="51"/>
      <c r="W306" s="51"/>
      <c r="X306" s="51"/>
      <c r="Y306" s="51"/>
      <c r="Z306" s="51"/>
      <c r="AA306" s="51"/>
      <c r="AC306" s="46" t="s">
        <v>1142</v>
      </c>
    </row>
    <row r="307" spans="19:29" ht="15.75" x14ac:dyDescent="0.25">
      <c r="S307" s="51"/>
      <c r="T307" s="51"/>
      <c r="U307" s="51"/>
      <c r="V307" s="51"/>
      <c r="W307" s="51"/>
      <c r="X307" s="51"/>
      <c r="Y307" s="51"/>
      <c r="Z307" s="51"/>
      <c r="AA307" s="51"/>
      <c r="AC307" s="46" t="s">
        <v>549</v>
      </c>
    </row>
    <row r="308" spans="19:29" ht="15.75" x14ac:dyDescent="0.25">
      <c r="S308" s="51"/>
      <c r="T308" s="51"/>
      <c r="U308" s="51"/>
      <c r="V308" s="51"/>
      <c r="W308" s="51"/>
      <c r="X308" s="51"/>
      <c r="Y308" s="51"/>
      <c r="Z308" s="51"/>
      <c r="AA308" s="51"/>
      <c r="AC308" s="46" t="s">
        <v>1123</v>
      </c>
    </row>
    <row r="309" spans="19:29" ht="15.75" x14ac:dyDescent="0.25">
      <c r="S309" s="51"/>
      <c r="T309" s="51"/>
      <c r="U309" s="51"/>
      <c r="V309" s="51"/>
      <c r="W309" s="51"/>
      <c r="X309" s="51"/>
      <c r="Y309" s="51"/>
      <c r="Z309" s="51"/>
      <c r="AA309" s="51"/>
      <c r="AC309" s="46" t="s">
        <v>1124</v>
      </c>
    </row>
    <row r="310" spans="19:29" ht="15.75" x14ac:dyDescent="0.25">
      <c r="S310" s="51"/>
      <c r="T310" s="51"/>
      <c r="U310" s="51"/>
      <c r="V310" s="51"/>
      <c r="W310" s="51"/>
      <c r="X310" s="51"/>
      <c r="Y310" s="51"/>
      <c r="Z310" s="51"/>
      <c r="AA310" s="51"/>
      <c r="AC310" s="46" t="s">
        <v>1125</v>
      </c>
    </row>
    <row r="311" spans="19:29" ht="15.75" x14ac:dyDescent="0.25">
      <c r="S311" s="51"/>
      <c r="T311" s="51"/>
      <c r="U311" s="51"/>
      <c r="V311" s="51"/>
      <c r="W311" s="51"/>
      <c r="X311" s="51"/>
      <c r="Y311" s="51"/>
      <c r="Z311" s="51"/>
      <c r="AA311" s="51"/>
      <c r="AC311" s="46" t="s">
        <v>1126</v>
      </c>
    </row>
    <row r="312" spans="19:29" ht="15.75" x14ac:dyDescent="0.25">
      <c r="S312" s="51"/>
      <c r="T312" s="51"/>
      <c r="U312" s="51"/>
      <c r="V312" s="51"/>
      <c r="W312" s="51"/>
      <c r="X312" s="51"/>
      <c r="Y312" s="51"/>
      <c r="Z312" s="51"/>
      <c r="AA312" s="51"/>
      <c r="AC312" s="46" t="s">
        <v>1127</v>
      </c>
    </row>
    <row r="313" spans="19:29" ht="15.75" x14ac:dyDescent="0.25">
      <c r="S313" s="51"/>
      <c r="T313" s="51"/>
      <c r="U313" s="51"/>
      <c r="V313" s="51"/>
      <c r="W313" s="51"/>
      <c r="X313" s="51"/>
      <c r="Y313" s="51"/>
      <c r="Z313" s="51"/>
      <c r="AA313" s="51"/>
      <c r="AC313" s="46" t="s">
        <v>1128</v>
      </c>
    </row>
    <row r="314" spans="19:29" ht="15.75" x14ac:dyDescent="0.25">
      <c r="S314" s="51"/>
      <c r="T314" s="51"/>
      <c r="U314" s="51"/>
      <c r="V314" s="51"/>
      <c r="W314" s="51"/>
      <c r="X314" s="51"/>
      <c r="Y314" s="51"/>
      <c r="Z314" s="51"/>
      <c r="AA314" s="51"/>
      <c r="AC314" s="46" t="s">
        <v>1129</v>
      </c>
    </row>
    <row r="315" spans="19:29" ht="15.75" x14ac:dyDescent="0.25">
      <c r="S315" s="51"/>
      <c r="T315" s="51"/>
      <c r="U315" s="51"/>
      <c r="V315" s="51"/>
      <c r="W315" s="51"/>
      <c r="X315" s="51"/>
      <c r="Y315" s="51"/>
      <c r="Z315" s="51"/>
      <c r="AA315" s="51"/>
      <c r="AC315" s="46" t="s">
        <v>552</v>
      </c>
    </row>
    <row r="316" spans="19:29" ht="15.75" x14ac:dyDescent="0.25">
      <c r="S316" s="51"/>
      <c r="T316" s="51"/>
      <c r="U316" s="51"/>
      <c r="V316" s="51"/>
      <c r="W316" s="51"/>
      <c r="X316" s="51"/>
      <c r="Y316" s="51"/>
      <c r="Z316" s="51"/>
      <c r="AA316" s="51"/>
      <c r="AC316" s="46" t="s">
        <v>1130</v>
      </c>
    </row>
    <row r="317" spans="19:29" ht="15.75" x14ac:dyDescent="0.25">
      <c r="S317" s="51"/>
      <c r="T317" s="51"/>
      <c r="U317" s="51"/>
      <c r="V317" s="51"/>
      <c r="W317" s="51"/>
      <c r="X317" s="51"/>
      <c r="Y317" s="51"/>
      <c r="Z317" s="51"/>
      <c r="AA317" s="51"/>
      <c r="AC317" s="46" t="s">
        <v>1159</v>
      </c>
    </row>
    <row r="318" spans="19:29" ht="15.75" x14ac:dyDescent="0.25">
      <c r="S318" s="51"/>
      <c r="T318" s="51"/>
      <c r="U318" s="51"/>
      <c r="V318" s="51"/>
      <c r="W318" s="51"/>
      <c r="X318" s="51"/>
      <c r="Y318" s="51"/>
      <c r="Z318" s="51"/>
      <c r="AA318" s="51"/>
      <c r="AC318" s="46" t="s">
        <v>1143</v>
      </c>
    </row>
    <row r="319" spans="19:29" ht="15.75" x14ac:dyDescent="0.25">
      <c r="S319" s="51"/>
      <c r="T319" s="51"/>
      <c r="U319" s="51"/>
      <c r="V319" s="51"/>
      <c r="W319" s="51"/>
      <c r="X319" s="51"/>
      <c r="Y319" s="51"/>
      <c r="Z319" s="51"/>
      <c r="AA319" s="51"/>
      <c r="AC319" s="46" t="s">
        <v>1131</v>
      </c>
    </row>
    <row r="320" spans="19:29" ht="15.75" x14ac:dyDescent="0.25">
      <c r="S320" s="51"/>
      <c r="T320" s="51"/>
      <c r="U320" s="51"/>
      <c r="V320" s="51"/>
      <c r="W320" s="51"/>
      <c r="X320" s="51"/>
      <c r="Y320" s="51"/>
      <c r="Z320" s="51"/>
      <c r="AA320" s="51"/>
      <c r="AC320" s="46" t="s">
        <v>1132</v>
      </c>
    </row>
    <row r="321" spans="19:29" ht="15.75" x14ac:dyDescent="0.25">
      <c r="S321" s="51"/>
      <c r="T321" s="51"/>
      <c r="U321" s="51"/>
      <c r="V321" s="51"/>
      <c r="W321" s="51"/>
      <c r="X321" s="51"/>
      <c r="Y321" s="51"/>
      <c r="Z321" s="51"/>
      <c r="AA321" s="51"/>
      <c r="AC321" s="46" t="s">
        <v>1133</v>
      </c>
    </row>
    <row r="322" spans="19:29" ht="15.75" x14ac:dyDescent="0.25">
      <c r="S322" s="51"/>
      <c r="T322" s="51"/>
      <c r="U322" s="51"/>
      <c r="V322" s="51"/>
      <c r="W322" s="51"/>
      <c r="X322" s="51"/>
      <c r="Y322" s="51"/>
      <c r="Z322" s="51"/>
      <c r="AA322" s="51"/>
      <c r="AC322" s="46" t="s">
        <v>1134</v>
      </c>
    </row>
    <row r="323" spans="19:29" ht="15.75" x14ac:dyDescent="0.25">
      <c r="S323" s="51"/>
      <c r="T323" s="51"/>
      <c r="U323" s="51"/>
      <c r="V323" s="51"/>
      <c r="W323" s="51"/>
      <c r="X323" s="51"/>
      <c r="Y323" s="51"/>
      <c r="Z323" s="51"/>
      <c r="AA323" s="51"/>
      <c r="AC323" s="46" t="s">
        <v>551</v>
      </c>
    </row>
    <row r="324" spans="19:29" ht="15.75" x14ac:dyDescent="0.25">
      <c r="S324" s="51"/>
      <c r="T324" s="51"/>
      <c r="U324" s="51"/>
      <c r="V324" s="51"/>
      <c r="W324" s="51"/>
      <c r="X324" s="51"/>
      <c r="Y324" s="51"/>
      <c r="Z324" s="51"/>
      <c r="AA324" s="51"/>
      <c r="AC324" s="46" t="s">
        <v>1160</v>
      </c>
    </row>
  </sheetData>
  <sheetProtection algorithmName="SHA-512" hashValue="Glu3xGmR/a9XhdCIIiahBsR8kFFb6jvIZah8NkqEdBBTMMlbFMt47qqRKrslnodam9yoMQRwqCi0WLzDkbqOQw==" saltValue="uaVWRNr2OUzhOXeJqWnebw==" spinCount="100000" sheet="1" objects="1" scenarios="1"/>
  <protectedRanges>
    <protectedRange algorithmName="SHA-512" hashValue="fVG7ak8msebm5rHaM8JcxnIz8jHGdTmtZyhWD0H/Bzz3kAQqzRy1jMANiVylQgwMIkXaB/fCY4r+JsHUhKubdg==" saltValue="ic9xJsurRqik5Aok7d+Uzg==" spinCount="100000" sqref="J1:AE324 A1:I319" name="HiddenLookups"/>
  </protectedRanges>
  <conditionalFormatting sqref="C2:C37">
    <cfRule type="cellIs" dxfId="1" priority="2" operator="equal">
      <formula>0</formula>
    </cfRule>
  </conditionalFormatting>
  <conditionalFormatting sqref="C1">
    <cfRule type="cellIs" dxfId="0"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Character_Builder</vt:lpstr>
      <vt:lpstr>Pet_Builder</vt:lpstr>
      <vt:lpstr>Magic_Lores</vt:lpstr>
      <vt:lpstr>Cost_Compute</vt:lpstr>
      <vt:lpstr>Character_Data</vt:lpstr>
      <vt:lpstr>Mount_Data</vt:lpstr>
      <vt:lpstr>Equipment</vt:lpstr>
      <vt:lpstr>Enhancements</vt:lpstr>
      <vt:lpstr>Lookups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BESC</dc:creator>
  <cp:lastModifiedBy>Aaron K. Kamakawiwoole</cp:lastModifiedBy>
  <cp:lastPrinted>2016-10-28T17:50:54Z</cp:lastPrinted>
  <dcterms:created xsi:type="dcterms:W3CDTF">2014-03-07T11:41:31Z</dcterms:created>
  <dcterms:modified xsi:type="dcterms:W3CDTF">2018-03-27T20:52:22Z</dcterms:modified>
</cp:coreProperties>
</file>